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6\PTW\"/>
    </mc:Choice>
  </mc:AlternateContent>
  <xr:revisionPtr revIDLastSave="0" documentId="13_ncr:1_{CD4EA8E1-7770-4E3A-9965-9EDFA469C0C5}" xr6:coauthVersionLast="47" xr6:coauthVersionMax="47" xr10:uidLastSave="{00000000-0000-0000-0000-000000000000}"/>
  <bookViews>
    <workbookView xWindow="14295" yWindow="0" windowWidth="14610" windowHeight="15585" tabRatio="831" firstSheet="6" activeTab="8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7" l="1"/>
  <c r="D10" i="17"/>
  <c r="E10" i="17"/>
  <c r="F10" i="17"/>
  <c r="G10" i="17"/>
  <c r="C10" i="17"/>
  <c r="H27" i="19" l="1"/>
  <c r="H28" i="19" s="1"/>
  <c r="H29" i="19"/>
  <c r="H30" i="19"/>
  <c r="H31" i="19"/>
  <c r="H12" i="19"/>
  <c r="H16" i="19" s="1"/>
  <c r="H13" i="19"/>
  <c r="H14" i="19"/>
  <c r="H15" i="19"/>
  <c r="H5" i="25"/>
  <c r="H6" i="25"/>
  <c r="H7" i="25"/>
  <c r="H10" i="9"/>
  <c r="H5" i="24"/>
  <c r="H6" i="24" s="1"/>
  <c r="C11" i="16"/>
  <c r="H5" i="16"/>
  <c r="H6" i="16" s="1"/>
  <c r="H7" i="16"/>
  <c r="G27" i="19"/>
  <c r="G31" i="19" s="1"/>
  <c r="G12" i="19"/>
  <c r="G16" i="19"/>
  <c r="G5" i="25"/>
  <c r="G6" i="25" s="1"/>
  <c r="G10" i="9"/>
  <c r="G5" i="24"/>
  <c r="G6" i="24" s="1"/>
  <c r="G5" i="16"/>
  <c r="G6" i="16" s="1"/>
  <c r="F12" i="19"/>
  <c r="F16" i="19"/>
  <c r="F27" i="19"/>
  <c r="F31" i="19" s="1"/>
  <c r="F5" i="25"/>
  <c r="F6" i="25" s="1"/>
  <c r="F10" i="9"/>
  <c r="F5" i="24"/>
  <c r="F5" i="16"/>
  <c r="F6" i="16" s="1"/>
  <c r="E27" i="19"/>
  <c r="E31" i="19" s="1"/>
  <c r="E12" i="19"/>
  <c r="E16" i="19" s="1"/>
  <c r="E5" i="25"/>
  <c r="E10" i="9"/>
  <c r="E5" i="24"/>
  <c r="E5" i="16"/>
  <c r="E6" i="16" s="1"/>
  <c r="M42" i="28"/>
  <c r="P35" i="28" s="1"/>
  <c r="L42" i="28"/>
  <c r="D26" i="19"/>
  <c r="D25" i="19"/>
  <c r="D5" i="25"/>
  <c r="D11" i="19"/>
  <c r="D10" i="19"/>
  <c r="D10" i="9"/>
  <c r="D5" i="24"/>
  <c r="D5" i="16"/>
  <c r="H7" i="24" l="1"/>
  <c r="E6" i="25"/>
  <c r="F6" i="24"/>
  <c r="E6" i="24"/>
  <c r="D12" i="19"/>
  <c r="D16" i="19" s="1"/>
  <c r="D27" i="19"/>
  <c r="D31" i="19" s="1"/>
  <c r="C26" i="19"/>
  <c r="C25" i="19"/>
  <c r="C22" i="19"/>
  <c r="D22" i="19"/>
  <c r="D30" i="19" s="1"/>
  <c r="E22" i="19"/>
  <c r="E30" i="19" s="1"/>
  <c r="F22" i="19"/>
  <c r="F30" i="19" s="1"/>
  <c r="G22" i="19"/>
  <c r="G30" i="19" s="1"/>
  <c r="H22" i="19"/>
  <c r="I22" i="19"/>
  <c r="J22" i="19"/>
  <c r="K22" i="19"/>
  <c r="L22" i="19"/>
  <c r="M22" i="19"/>
  <c r="N22" i="19"/>
  <c r="C21" i="19"/>
  <c r="D21" i="19"/>
  <c r="D29" i="19" s="1"/>
  <c r="E21" i="19"/>
  <c r="E29" i="19" s="1"/>
  <c r="F21" i="19"/>
  <c r="F29" i="19" s="1"/>
  <c r="G21" i="19"/>
  <c r="G29" i="19" s="1"/>
  <c r="H21" i="19"/>
  <c r="I21" i="19"/>
  <c r="J21" i="19"/>
  <c r="K21" i="19"/>
  <c r="L21" i="19"/>
  <c r="M21" i="19"/>
  <c r="N21" i="19"/>
  <c r="C11" i="19" l="1"/>
  <c r="C10" i="19"/>
  <c r="C7" i="19"/>
  <c r="D7" i="19"/>
  <c r="D15" i="19" s="1"/>
  <c r="E7" i="19"/>
  <c r="E15" i="19" s="1"/>
  <c r="F7" i="19"/>
  <c r="F15" i="19" s="1"/>
  <c r="G7" i="19"/>
  <c r="G15" i="19" s="1"/>
  <c r="H7" i="19"/>
  <c r="I7" i="19"/>
  <c r="J7" i="19"/>
  <c r="K7" i="19"/>
  <c r="L7" i="19"/>
  <c r="M7" i="19"/>
  <c r="N7" i="19"/>
  <c r="C6" i="19"/>
  <c r="D6" i="19"/>
  <c r="D14" i="19" s="1"/>
  <c r="E6" i="19"/>
  <c r="E14" i="19" s="1"/>
  <c r="F6" i="19"/>
  <c r="G6" i="19"/>
  <c r="G14" i="19" s="1"/>
  <c r="H6" i="19"/>
  <c r="H8" i="19" s="1"/>
  <c r="I6" i="19"/>
  <c r="J6" i="19"/>
  <c r="J8" i="19" s="1"/>
  <c r="K6" i="19"/>
  <c r="L6" i="19"/>
  <c r="M6" i="19"/>
  <c r="N6" i="19"/>
  <c r="N8" i="19" s="1"/>
  <c r="K23" i="19"/>
  <c r="N23" i="19"/>
  <c r="C23" i="19"/>
  <c r="I23" i="19"/>
  <c r="F23" i="19"/>
  <c r="F28" i="19" s="1"/>
  <c r="D23" i="19"/>
  <c r="D28" i="19" s="1"/>
  <c r="G12" i="25"/>
  <c r="D12" i="25"/>
  <c r="C12" i="25"/>
  <c r="G11" i="25"/>
  <c r="D11" i="25"/>
  <c r="C11" i="25"/>
  <c r="N46" i="25"/>
  <c r="M46" i="25"/>
  <c r="L46" i="25"/>
  <c r="K46" i="25"/>
  <c r="J46" i="25"/>
  <c r="I46" i="25"/>
  <c r="H46" i="25"/>
  <c r="G46" i="25"/>
  <c r="G7" i="25" s="1"/>
  <c r="F46" i="25"/>
  <c r="F7" i="25" s="1"/>
  <c r="E46" i="25"/>
  <c r="E7" i="25" s="1"/>
  <c r="D46" i="25"/>
  <c r="D7" i="25" s="1"/>
  <c r="C46" i="25"/>
  <c r="O45" i="25"/>
  <c r="O44" i="25"/>
  <c r="G12" i="24"/>
  <c r="D12" i="24"/>
  <c r="C12" i="24"/>
  <c r="G11" i="24"/>
  <c r="D11" i="24"/>
  <c r="C11" i="24"/>
  <c r="G12" i="16"/>
  <c r="D12" i="16"/>
  <c r="G11" i="16"/>
  <c r="D11" i="16"/>
  <c r="N46" i="16"/>
  <c r="M46" i="16"/>
  <c r="L46" i="16"/>
  <c r="K46" i="16"/>
  <c r="J46" i="16"/>
  <c r="I46" i="16"/>
  <c r="H46" i="16"/>
  <c r="G46" i="16"/>
  <c r="G7" i="16" s="1"/>
  <c r="F46" i="16"/>
  <c r="F7" i="16" s="1"/>
  <c r="E46" i="16"/>
  <c r="E7" i="16" s="1"/>
  <c r="D46" i="16"/>
  <c r="D7" i="16" s="1"/>
  <c r="C46" i="16"/>
  <c r="O45" i="16"/>
  <c r="O44" i="16"/>
  <c r="K8" i="19" l="1"/>
  <c r="O46" i="25"/>
  <c r="G8" i="19"/>
  <c r="G13" i="19" s="1"/>
  <c r="F8" i="19"/>
  <c r="F13" i="19" s="1"/>
  <c r="F14" i="19"/>
  <c r="O46" i="16"/>
  <c r="E8" i="19"/>
  <c r="E13" i="19" s="1"/>
  <c r="L8" i="19"/>
  <c r="E23" i="19"/>
  <c r="E28" i="19" s="1"/>
  <c r="G23" i="19"/>
  <c r="G28" i="19" s="1"/>
  <c r="C30" i="19"/>
  <c r="H23" i="19"/>
  <c r="O21" i="19"/>
  <c r="J23" i="19"/>
  <c r="O6" i="19"/>
  <c r="O7" i="19"/>
  <c r="C8" i="19"/>
  <c r="L23" i="19"/>
  <c r="C14" i="19"/>
  <c r="O11" i="19"/>
  <c r="M23" i="19"/>
  <c r="O22" i="19"/>
  <c r="O26" i="19"/>
  <c r="C27" i="19"/>
  <c r="C31" i="19" s="1"/>
  <c r="O25" i="19"/>
  <c r="F43" i="19" s="1"/>
  <c r="C29" i="19"/>
  <c r="E12" i="25"/>
  <c r="D8" i="19"/>
  <c r="D13" i="19" s="1"/>
  <c r="I8" i="19"/>
  <c r="C12" i="19"/>
  <c r="C16" i="19" s="1"/>
  <c r="C15" i="19"/>
  <c r="E12" i="24"/>
  <c r="M8" i="19"/>
  <c r="O10" i="19"/>
  <c r="F36" i="19" s="1"/>
  <c r="C13" i="25"/>
  <c r="D13" i="25"/>
  <c r="C13" i="24"/>
  <c r="E11" i="25"/>
  <c r="G13" i="25"/>
  <c r="D13" i="24"/>
  <c r="G13" i="16"/>
  <c r="G13" i="24"/>
  <c r="D13" i="16"/>
  <c r="E11" i="24"/>
  <c r="N46" i="24"/>
  <c r="M46" i="24"/>
  <c r="L46" i="24"/>
  <c r="K46" i="24"/>
  <c r="J46" i="24"/>
  <c r="I46" i="24"/>
  <c r="H46" i="24"/>
  <c r="G46" i="24"/>
  <c r="G7" i="24" s="1"/>
  <c r="F46" i="24"/>
  <c r="F7" i="24" s="1"/>
  <c r="E46" i="24"/>
  <c r="E7" i="24" s="1"/>
  <c r="D46" i="24"/>
  <c r="D7" i="24" s="1"/>
  <c r="C46" i="24"/>
  <c r="O45" i="24"/>
  <c r="O44" i="24"/>
  <c r="O46" i="24" l="1"/>
  <c r="O30" i="19"/>
  <c r="F44" i="19"/>
  <c r="F45" i="19" s="1"/>
  <c r="O23" i="19"/>
  <c r="C44" i="19"/>
  <c r="G44" i="19"/>
  <c r="D44" i="19"/>
  <c r="D37" i="19"/>
  <c r="C37" i="19"/>
  <c r="G37" i="19"/>
  <c r="O15" i="19"/>
  <c r="F37" i="19"/>
  <c r="C13" i="19"/>
  <c r="E13" i="24"/>
  <c r="O12" i="19"/>
  <c r="O13" i="19" s="1"/>
  <c r="O8" i="19"/>
  <c r="C28" i="19"/>
  <c r="O27" i="19"/>
  <c r="O28" i="19" s="1"/>
  <c r="O29" i="19"/>
  <c r="O14" i="19"/>
  <c r="E13" i="25"/>
  <c r="H44" i="19" l="1"/>
  <c r="H37" i="19"/>
  <c r="E37" i="19"/>
  <c r="E44" i="19"/>
  <c r="C36" i="19"/>
  <c r="G43" i="19"/>
  <c r="D43" i="19"/>
  <c r="D45" i="19" s="1"/>
  <c r="C43" i="19"/>
  <c r="D36" i="19"/>
  <c r="D38" i="19" s="1"/>
  <c r="G36" i="19"/>
  <c r="F38" i="19"/>
  <c r="O16" i="19"/>
  <c r="O31" i="19"/>
  <c r="C45" i="19" l="1"/>
  <c r="E45" i="19" s="1"/>
  <c r="E43" i="19"/>
  <c r="G38" i="19"/>
  <c r="H38" i="19" s="1"/>
  <c r="H36" i="19"/>
  <c r="H43" i="19"/>
  <c r="G45" i="19"/>
  <c r="H45" i="19" s="1"/>
  <c r="C38" i="19"/>
  <c r="E38" i="19" s="1"/>
  <c r="E36" i="19"/>
  <c r="G14" i="17" l="1"/>
  <c r="D14" i="17"/>
  <c r="C14" i="17"/>
  <c r="L39" i="28"/>
  <c r="D15" i="27"/>
  <c r="O8" i="17"/>
  <c r="U4" i="28"/>
  <c r="T4" i="28"/>
  <c r="G14" i="9"/>
  <c r="D14" i="9"/>
  <c r="C14" i="9"/>
  <c r="C10" i="9"/>
  <c r="O9" i="9"/>
  <c r="F14" i="9" s="1"/>
  <c r="O10" i="9" l="1"/>
  <c r="E14" i="17"/>
  <c r="U47" i="28"/>
  <c r="T47" i="28"/>
  <c r="O10" i="28"/>
  <c r="N10" i="28"/>
  <c r="F9" i="16" l="1"/>
  <c r="M39" i="28" l="1"/>
  <c r="N38" i="28"/>
  <c r="N37" i="28"/>
  <c r="N36" i="28"/>
  <c r="N40" i="28"/>
  <c r="N35" i="28"/>
  <c r="M34" i="28"/>
  <c r="L34" i="28"/>
  <c r="N33" i="28"/>
  <c r="N32" i="28"/>
  <c r="N31" i="28"/>
  <c r="C34" i="19"/>
  <c r="F34" i="19" s="1"/>
  <c r="F50" i="9"/>
  <c r="C9" i="25"/>
  <c r="F9" i="25" s="1"/>
  <c r="G15" i="27"/>
  <c r="F15" i="27"/>
  <c r="F16" i="27" s="1"/>
  <c r="G16" i="27" s="1"/>
  <c r="E15" i="27"/>
  <c r="D16" i="27"/>
  <c r="D3" i="27"/>
  <c r="P48" i="17"/>
  <c r="N48" i="17"/>
  <c r="M48" i="17"/>
  <c r="L48" i="17"/>
  <c r="K48" i="17"/>
  <c r="J48" i="17"/>
  <c r="I48" i="17"/>
  <c r="H48" i="17"/>
  <c r="G48" i="17"/>
  <c r="O47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C12" i="17"/>
  <c r="F12" i="17" s="1"/>
  <c r="F48" i="17"/>
  <c r="C48" i="17"/>
  <c r="O5" i="17"/>
  <c r="O4" i="17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N50" i="9"/>
  <c r="M50" i="9"/>
  <c r="L50" i="9"/>
  <c r="K50" i="9"/>
  <c r="J50" i="9"/>
  <c r="I50" i="9"/>
  <c r="H50" i="9"/>
  <c r="G50" i="9"/>
  <c r="O49" i="9"/>
  <c r="N48" i="9"/>
  <c r="M48" i="9"/>
  <c r="L48" i="9"/>
  <c r="K48" i="9"/>
  <c r="J48" i="9"/>
  <c r="I48" i="9"/>
  <c r="H48" i="9"/>
  <c r="G48" i="9"/>
  <c r="F48" i="9"/>
  <c r="E48" i="9"/>
  <c r="D48" i="9"/>
  <c r="C48" i="9"/>
  <c r="P47" i="9"/>
  <c r="P48" i="9" s="1"/>
  <c r="O47" i="9"/>
  <c r="O48" i="9" s="1"/>
  <c r="N46" i="9"/>
  <c r="M46" i="9"/>
  <c r="L46" i="9"/>
  <c r="K46" i="9"/>
  <c r="J46" i="9"/>
  <c r="I46" i="9"/>
  <c r="H46" i="9"/>
  <c r="G46" i="9"/>
  <c r="F46" i="9"/>
  <c r="E46" i="9"/>
  <c r="D46" i="9"/>
  <c r="C46" i="9"/>
  <c r="O45" i="9"/>
  <c r="O46" i="9" s="1"/>
  <c r="C12" i="9"/>
  <c r="F12" i="9" s="1"/>
  <c r="O5" i="9"/>
  <c r="O4" i="9"/>
  <c r="C9" i="24"/>
  <c r="F9" i="24" s="1"/>
  <c r="C5" i="24"/>
  <c r="D6" i="24" s="1"/>
  <c r="O4" i="24"/>
  <c r="F12" i="24" s="1"/>
  <c r="H12" i="24" s="1"/>
  <c r="O3" i="24"/>
  <c r="F11" i="24" s="1"/>
  <c r="C12" i="16"/>
  <c r="E12" i="16" s="1"/>
  <c r="E11" i="16"/>
  <c r="C5" i="16"/>
  <c r="O4" i="16"/>
  <c r="F12" i="16" s="1"/>
  <c r="H12" i="16" s="1"/>
  <c r="O3" i="16"/>
  <c r="F11" i="16" s="1"/>
  <c r="D6" i="16" l="1"/>
  <c r="C6" i="16"/>
  <c r="F13" i="24"/>
  <c r="H13" i="24" s="1"/>
  <c r="H11" i="24"/>
  <c r="F13" i="16"/>
  <c r="H13" i="16" s="1"/>
  <c r="H11" i="16"/>
  <c r="E50" i="9"/>
  <c r="O5" i="24"/>
  <c r="P3" i="24" s="1"/>
  <c r="C6" i="24"/>
  <c r="H16" i="27"/>
  <c r="C41" i="19"/>
  <c r="F41" i="19" s="1"/>
  <c r="E48" i="17"/>
  <c r="O3" i="25"/>
  <c r="F11" i="25" s="1"/>
  <c r="C5" i="25"/>
  <c r="D6" i="25" s="1"/>
  <c r="C7" i="16"/>
  <c r="H15" i="27"/>
  <c r="O5" i="16"/>
  <c r="P3" i="16" s="1"/>
  <c r="C7" i="24"/>
  <c r="O4" i="25"/>
  <c r="F12" i="25" s="1"/>
  <c r="H12" i="25" s="1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W30" i="28"/>
  <c r="O30" i="28"/>
  <c r="P41" i="28"/>
  <c r="X40" i="28"/>
  <c r="W46" i="28"/>
  <c r="W20" i="28"/>
  <c r="N42" i="28"/>
  <c r="P30" i="28"/>
  <c r="E16" i="27"/>
  <c r="D16" i="28"/>
  <c r="C13" i="16"/>
  <c r="E13" i="16" s="1"/>
  <c r="H11" i="25" l="1"/>
  <c r="F13" i="25"/>
  <c r="H13" i="25" s="1"/>
  <c r="P4" i="24"/>
  <c r="C50" i="9"/>
  <c r="O8" i="9"/>
  <c r="P4" i="16"/>
  <c r="C6" i="25"/>
  <c r="O5" i="25"/>
  <c r="P4" i="25" s="1"/>
  <c r="C7" i="25"/>
  <c r="D48" i="17"/>
  <c r="O9" i="17"/>
  <c r="F14" i="17" s="1"/>
  <c r="D50" i="9"/>
  <c r="O7" i="24"/>
  <c r="O7" i="16"/>
  <c r="H16" i="28"/>
  <c r="E16" i="28"/>
  <c r="O7" i="25" l="1"/>
  <c r="O50" i="9"/>
  <c r="H14" i="17"/>
  <c r="O48" i="17"/>
  <c r="O10" i="17"/>
  <c r="P3" i="25"/>
  <c r="H14" i="9" l="1"/>
  <c r="E14" i="9"/>
</calcChain>
</file>

<file path=xl/sharedStrings.xml><?xml version="1.0" encoding="utf-8"?>
<sst xmlns="http://schemas.openxmlformats.org/spreadsheetml/2006/main" count="411" uniqueCount="155">
  <si>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</si>
  <si>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</si>
  <si>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</si>
  <si>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</si>
  <si>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</si>
  <si>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</si>
  <si>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</si>
  <si>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</si>
  <si>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</si>
  <si>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</si>
  <si>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</si>
  <si>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</si>
  <si>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</si>
  <si>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</si>
  <si>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</si>
  <si>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</si>
  <si>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</si>
  <si>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</si>
  <si>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</si>
  <si>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</si>
  <si>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</si>
  <si>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</si>
  <si>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</si>
  <si>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</si>
  <si>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</si>
  <si>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</si>
  <si>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</si>
  <si>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</si>
  <si>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</si>
  <si>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</si>
  <si>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</si>
  <si>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</si>
  <si>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</si>
  <si>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</si>
  <si>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</si>
  <si>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</si>
  <si>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</si>
  <si>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</si>
  <si>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</si>
  <si>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</si>
  <si>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</si>
  <si>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</si>
  <si>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</si>
  <si>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</si>
  <si>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</si>
  <si>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</si>
  <si>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</si>
  <si>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</si>
  <si>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</si>
  <si>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</si>
  <si>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</si>
  <si>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</si>
  <si>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</si>
  <si>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</si>
  <si>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</si>
  <si>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</si>
  <si>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</si>
  <si>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</si>
  <si>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</si>
  <si>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</si>
  <si>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</si>
  <si>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</si>
  <si>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</si>
  <si>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</si>
  <si>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</si>
  <si>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</si>
  <si>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</si>
  <si>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</si>
  <si>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</si>
  <si>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</si>
  <si>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</si>
  <si>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</si>
  <si>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</si>
  <si>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</si>
  <si>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</si>
  <si>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</si>
  <si>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</si>
  <si>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</si>
  <si>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</si>
  <si>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</si>
  <si>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</si>
  <si>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</si>
  <si>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</si>
  <si>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</si>
  <si>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</si>
  <si>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</si>
  <si>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</si>
  <si>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</si>
  <si>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</si>
  <si>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</si>
  <si>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</si>
  <si>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</si>
  <si>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</si>
  <si>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</si>
  <si>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</si>
  <si>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</si>
  <si>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</si>
  <si>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</si>
  <si>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</si>
  <si>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</si>
  <si>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</si>
  <si>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</si>
  <si>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</si>
  <si>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</si>
  <si>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</si>
  <si>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</si>
  <si>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</si>
  <si>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</si>
  <si>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</si>
  <si>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</si>
  <si>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</si>
  <si>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</si>
  <si>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</si>
  <si>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</si>
  <si>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</si>
  <si>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</si>
  <si>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</si>
  <si>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</si>
  <si>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</si>
  <si>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</si>
  <si>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</si>
  <si>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</si>
  <si>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</si>
  <si>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</si>
  <si>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</si>
  <si>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</si>
  <si>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</si>
  <si>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</si>
  <si>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</si>
  <si>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</si>
  <si>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</si>
  <si>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</si>
  <si>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</si>
  <si>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</si>
  <si>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</si>
  <si>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</si>
  <si>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</si>
  <si>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</si>
  <si>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</si>
  <si>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</si>
  <si>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</si>
  <si>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</si>
  <si>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</si>
  <si>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</si>
  <si>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</si>
  <si>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</si>
  <si>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ZONTES</t>
  </si>
  <si>
    <t>BETA</t>
  </si>
  <si>
    <t>SURRON</t>
  </si>
  <si>
    <t>PIERWSZE REJESTRACJE NOWYCH I UŻYWANYCH JEDNOŚLADÓW w POLSCE, 2022</t>
  </si>
  <si>
    <t>PIERWSZE REJESTRACJE UŻYWANYCH JEDNOŚLADÓW w POLSCE, 2022</t>
  </si>
  <si>
    <t>\</t>
  </si>
  <si>
    <t>REJESTRACJE - PZPM na podstawie danych Centralnej Ewidencji Pojazdów. CZERWIEC 2023</t>
  </si>
  <si>
    <t>CZERWIEC</t>
  </si>
  <si>
    <t>Styczeń - Czerwiec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</si>
</sst>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9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6342</c:v>
                </c:pt>
                <c:pt idx="1">
                  <c:v>143</c:v>
                </c:pt>
                <c:pt idx="2">
                  <c:v>2077</c:v>
                </c:pt>
                <c:pt idx="3">
                  <c:v>1762</c:v>
                </c:pt>
                <c:pt idx="4">
                  <c:v>1417</c:v>
                </c:pt>
                <c:pt idx="5">
                  <c:v>2419</c:v>
                </c:pt>
                <c:pt idx="6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3807</c:v>
                </c:pt>
                <c:pt idx="1">
                  <c:v>1234</c:v>
                </c:pt>
                <c:pt idx="2">
                  <c:v>4733</c:v>
                </c:pt>
                <c:pt idx="3">
                  <c:v>139</c:v>
                </c:pt>
                <c:pt idx="4">
                  <c:v>572</c:v>
                </c:pt>
                <c:pt idx="5">
                  <c:v>1391</c:v>
                </c:pt>
                <c:pt idx="6">
                  <c:v>3582</c:v>
                </c:pt>
                <c:pt idx="7">
                  <c:v>863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3483</c:v>
                </c:pt>
                <c:pt idx="1">
                  <c:v>1407</c:v>
                </c:pt>
                <c:pt idx="2">
                  <c:v>4385</c:v>
                </c:pt>
                <c:pt idx="3">
                  <c:v>71</c:v>
                </c:pt>
                <c:pt idx="4">
                  <c:v>465</c:v>
                </c:pt>
                <c:pt idx="5">
                  <c:v>1052</c:v>
                </c:pt>
                <c:pt idx="6">
                  <c:v>2801</c:v>
                </c:pt>
                <c:pt idx="7">
                  <c:v>757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40948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0.84521883810140042</c:v>
                </c:pt>
                <c:pt idx="1">
                  <c:v>0.15478116189859961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61517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65315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0.8114368827987446</c:v>
                </c:pt>
                <c:pt idx="1">
                  <c:v>0.18856311720125546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20569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22041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0.74511138333106486</c:v>
                </c:pt>
                <c:pt idx="1">
                  <c:v>0.25488861666893514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14488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16423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6593</c:v>
                </c:pt>
                <c:pt idx="1">
                  <c:v>145</c:v>
                </c:pt>
                <c:pt idx="2">
                  <c:v>2171</c:v>
                </c:pt>
                <c:pt idx="3">
                  <c:v>2095</c:v>
                </c:pt>
                <c:pt idx="4">
                  <c:v>2227</c:v>
                </c:pt>
                <c:pt idx="5">
                  <c:v>2903</c:v>
                </c:pt>
                <c:pt idx="6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134</v>
      </c>
      <c r="C10" s="37" t="s">
        <v>105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135</v>
      </c>
      <c r="C13" s="38" t="s">
        <v>142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136</v>
      </c>
      <c r="C15" s="38" t="s">
        <v>106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137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138</v>
      </c>
      <c r="C19" s="37" t="s">
        <v>107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140</v>
      </c>
      <c r="C23" s="37" t="s">
        <v>108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141</v>
      </c>
      <c r="C25" s="37" t="s">
        <v>109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>
      <selection activeCell="H3" sqref="H3:H7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/>
      <c r="J3" s="49"/>
      <c r="K3" s="49"/>
      <c r="L3" s="49"/>
      <c r="M3" s="49"/>
      <c r="N3" s="49"/>
      <c r="O3" s="50">
        <f>SUM(C3:N3)</f>
        <v>52999</v>
      </c>
      <c r="P3" s="6">
        <f>O3/O5</f>
        <v>0.8114368827987446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/>
      <c r="J4" s="52"/>
      <c r="K4" s="52"/>
      <c r="L4" s="52"/>
      <c r="M4" s="52"/>
      <c r="N4" s="52"/>
      <c r="O4" s="50">
        <f>SUM(C4:N4)</f>
        <v>12316</v>
      </c>
      <c r="P4" s="6">
        <f>O4/O5</f>
        <v>0.18856311720125546</v>
      </c>
    </row>
    <row r="5" spans="2:34" ht="15.75" customHeight="1">
      <c r="B5" s="53" t="s">
        <v>110</v>
      </c>
      <c r="C5" s="54">
        <f>SUM(C3:C4)</f>
        <v>5592</v>
      </c>
      <c r="D5" s="54">
        <f>SUM(D3:D4)</f>
        <v>6653</v>
      </c>
      <c r="E5" s="54">
        <f>SUM(E3:E4)</f>
        <v>11811</v>
      </c>
      <c r="F5" s="54">
        <f>SUM(F3:F4)</f>
        <v>13142</v>
      </c>
      <c r="G5" s="54">
        <f>SUM(G3:G4)</f>
        <v>14339</v>
      </c>
      <c r="H5" s="54">
        <f>SUM(H3:H4)</f>
        <v>13778</v>
      </c>
      <c r="I5" s="54"/>
      <c r="J5" s="54"/>
      <c r="K5" s="54"/>
      <c r="L5" s="54"/>
      <c r="M5" s="54"/>
      <c r="N5" s="54"/>
      <c r="O5" s="55">
        <f>SUM(C5:N5)</f>
        <v>65315</v>
      </c>
      <c r="P5" s="6">
        <v>1</v>
      </c>
    </row>
    <row r="6" spans="2:34" ht="15.75" customHeight="1">
      <c r="B6" s="57" t="s">
        <v>111</v>
      </c>
      <c r="C6" s="58">
        <f>C5/N46-1</f>
        <v>0.31483658593933694</v>
      </c>
      <c r="D6" s="58">
        <f>D5/C5-1</f>
        <v>0.18973533619456373</v>
      </c>
      <c r="E6" s="58">
        <f>E5/D5-1</f>
        <v>0.77528934315346465</v>
      </c>
      <c r="F6" s="58">
        <f>F5/E5-1</f>
        <v>0.11269155871645076</v>
      </c>
      <c r="G6" s="58">
        <f>G5/F5-1</f>
        <v>9.108202708872315E-2</v>
      </c>
      <c r="H6" s="58">
        <f>H5/G5-1</f>
        <v>-3.9124067229235004E-2</v>
      </c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112</v>
      </c>
      <c r="C7" s="61">
        <f>C5/C46-1</f>
        <v>0.22712310730743912</v>
      </c>
      <c r="D7" s="61">
        <f>D5/D46-1</f>
        <v>6.9270331083252978E-2</v>
      </c>
      <c r="E7" s="61">
        <f>E5/E46-1</f>
        <v>3.9952397143827589E-3</v>
      </c>
      <c r="F7" s="61">
        <f>F5/F46-1</f>
        <v>9.1075134910751254E-2</v>
      </c>
      <c r="G7" s="61">
        <f>G5/G46-1</f>
        <v>4.8555758683729522E-2</v>
      </c>
      <c r="H7" s="61">
        <f>H5/H46-1</f>
        <v>3.9535234646144612E-2</v>
      </c>
      <c r="I7" s="61"/>
      <c r="J7" s="61"/>
      <c r="K7" s="61"/>
      <c r="L7" s="61"/>
      <c r="M7" s="61"/>
      <c r="N7" s="61"/>
      <c r="O7" s="62">
        <f ca="1">+O5/G13-1</f>
        <v>6.1739031487231255E-2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153</v>
      </c>
      <c r="D9" s="191"/>
      <c r="E9" s="192" t="s">
        <v>5</v>
      </c>
      <c r="F9" s="193" t="str">
        <f>"ROK NARASTAJĄCO
STYCZEŃ-" &amp; C9</f>
        <v>ROK NARASTAJĄCO
STYCZEŃ-CZERWIEC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f ca="1">OFFSET(B3,,COUNTA(C3:N3),,)</f>
        <v>11005</v>
      </c>
      <c r="D11" s="66">
        <f ca="1">OFFSET(B44,,COUNTA(C3:N3),,)</f>
        <v>10312</v>
      </c>
      <c r="E11" s="67">
        <f ca="1">+C11/D11-1</f>
        <v>6.7203258339798344E-2</v>
      </c>
      <c r="F11" s="66">
        <f>O3</f>
        <v>52999</v>
      </c>
      <c r="G11" s="68">
        <f ca="1">SUM(OFFSET(C44,,,,COUNTA(C3:N3)))</f>
        <v>49153</v>
      </c>
      <c r="H11" s="67">
        <f ca="1">+F11/G11-1</f>
        <v>7.8245478404166624E-2</v>
      </c>
      <c r="I11" s="2"/>
      <c r="O11" s="9"/>
    </row>
    <row r="12" spans="2:34" ht="19.5" customHeight="1">
      <c r="B12" s="69" t="s">
        <v>21</v>
      </c>
      <c r="C12" s="70">
        <f ca="1">OFFSET(B4,,COUNTA(C4:N4),,)</f>
        <v>2773</v>
      </c>
      <c r="D12" s="70">
        <f ca="1">OFFSET(B45,,COUNTA(C4:N4),,)</f>
        <v>2942</v>
      </c>
      <c r="E12" s="71">
        <f ca="1">+C12/D12-1</f>
        <v>-5.7443915703602966E-2</v>
      </c>
      <c r="F12" s="70">
        <f>O4</f>
        <v>12316</v>
      </c>
      <c r="G12" s="72">
        <f ca="1">SUM(OFFSET(C45,,,,COUNTA(C4:N4)))</f>
        <v>12364</v>
      </c>
      <c r="H12" s="71">
        <f ca="1">+F12/G12-1</f>
        <v>-3.8822387576835649E-3</v>
      </c>
      <c r="O12" s="9"/>
      <c r="R12" s="12"/>
    </row>
    <row r="13" spans="2:34" ht="19.5" customHeight="1">
      <c r="B13" s="73" t="s">
        <v>18</v>
      </c>
      <c r="C13" s="73">
        <f ca="1">SUM(C11:C12)</f>
        <v>13778</v>
      </c>
      <c r="D13" s="73">
        <f ca="1">SUM(D11:D12)</f>
        <v>13254</v>
      </c>
      <c r="E13" s="74">
        <f ca="1">+C13/D13-1</f>
        <v>3.9535234646144612E-2</v>
      </c>
      <c r="F13" s="73">
        <f>SUM(F11:F12)</f>
        <v>65315</v>
      </c>
      <c r="G13" s="73">
        <f ca="1">SUM(G11:G12)</f>
        <v>61517</v>
      </c>
      <c r="H13" s="74">
        <f ca="1">+F13/G13-1</f>
        <v>6.1739031487231255E-2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149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f>SUM(C44:N44)</f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f>SUM(C45:N45)</f>
        <v>23436</v>
      </c>
    </row>
    <row r="46" spans="2:15">
      <c r="B46" s="53" t="s">
        <v>90</v>
      </c>
      <c r="C46" s="54">
        <f>SUM(C44:C45)</f>
        <v>4557</v>
      </c>
      <c r="D46" s="54">
        <f>SUM(D44:D45)</f>
        <v>6222</v>
      </c>
      <c r="E46" s="54">
        <f>SUM(E44:E45)</f>
        <v>11764</v>
      </c>
      <c r="F46" s="54">
        <f>SUM(F44:F45)</f>
        <v>12045</v>
      </c>
      <c r="G46" s="54">
        <f t="shared" ref="G46:I46" si="0">SUM(G44:G45)</f>
        <v>13675</v>
      </c>
      <c r="H46" s="54">
        <f t="shared" si="0"/>
        <v>13254</v>
      </c>
      <c r="I46" s="54">
        <f t="shared" si="0"/>
        <v>12043</v>
      </c>
      <c r="J46" s="54">
        <f>SUM(J44:J45)</f>
        <v>10344</v>
      </c>
      <c r="K46" s="54">
        <f>SUM(K44:K45)</f>
        <v>7657</v>
      </c>
      <c r="L46" s="54">
        <f>SUM(L44:L45)</f>
        <v>6059</v>
      </c>
      <c r="M46" s="54">
        <f>SUM(M44:M45)</f>
        <v>5346</v>
      </c>
      <c r="N46" s="54">
        <f>SUM(N44:N45)</f>
        <v>4253</v>
      </c>
      <c r="O46" s="55">
        <f>SUM(C46:N46)</f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5" zoomScaleNormal="85" workbookViewId="0">
      <selection activeCell="H3" sqref="H3:H7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/>
      <c r="J3" s="49"/>
      <c r="K3" s="49"/>
      <c r="L3" s="49"/>
      <c r="M3" s="49"/>
      <c r="N3" s="49"/>
      <c r="O3" s="50">
        <f>SUM(C3:N3)</f>
        <v>16423</v>
      </c>
      <c r="P3" s="6">
        <f>O3/O5</f>
        <v>0.74511138333106486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/>
      <c r="J4" s="52"/>
      <c r="K4" s="52"/>
      <c r="L4" s="52"/>
      <c r="M4" s="52"/>
      <c r="N4" s="52"/>
      <c r="O4" s="50">
        <f>SUM(C4:N4)</f>
        <v>5618</v>
      </c>
      <c r="P4" s="6">
        <f>O4/O5</f>
        <v>0.25488861666893514</v>
      </c>
    </row>
    <row r="5" spans="2:18" ht="15.75" customHeight="1">
      <c r="B5" s="53" t="s">
        <v>110</v>
      </c>
      <c r="C5" s="54">
        <f>SUM(C3:C4)</f>
        <v>1566</v>
      </c>
      <c r="D5" s="54">
        <f>SUM(D3:D4)</f>
        <v>2025</v>
      </c>
      <c r="E5" s="54">
        <f>SUM(E3:E4)</f>
        <v>4046</v>
      </c>
      <c r="F5" s="54">
        <f>SUM(F3:F4)</f>
        <v>4692</v>
      </c>
      <c r="G5" s="54">
        <f>SUM(G3:G4)</f>
        <v>4911</v>
      </c>
      <c r="H5" s="54">
        <f>SUM(H3:H4)</f>
        <v>4801</v>
      </c>
      <c r="I5" s="54"/>
      <c r="J5" s="54"/>
      <c r="K5" s="54"/>
      <c r="L5" s="54"/>
      <c r="M5" s="54"/>
      <c r="N5" s="54"/>
      <c r="O5" s="55">
        <f>SUM(C5:N5)</f>
        <v>22041</v>
      </c>
      <c r="P5" s="6">
        <v>1</v>
      </c>
    </row>
    <row r="6" spans="2:18" ht="15.75" customHeight="1">
      <c r="B6" s="57" t="s">
        <v>111</v>
      </c>
      <c r="C6" s="58">
        <f>C5/N46-1</f>
        <v>0.25985518905872884</v>
      </c>
      <c r="D6" s="58">
        <f>D5/C5-1</f>
        <v>0.2931034482758621</v>
      </c>
      <c r="E6" s="58">
        <f>E5/D5-1</f>
        <v>0.99802469135802463</v>
      </c>
      <c r="F6" s="58">
        <f>F5/E5-1</f>
        <v>0.15966386554621859</v>
      </c>
      <c r="G6" s="58">
        <f>G5/F5-1</f>
        <v>4.6675191815856776E-2</v>
      </c>
      <c r="H6" s="58">
        <f>H5/G5-1</f>
        <v>-2.2398696803095142E-2</v>
      </c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112</v>
      </c>
      <c r="C7" s="61">
        <f>C5/C46-1</f>
        <v>0.29314616019818329</v>
      </c>
      <c r="D7" s="61">
        <f>D5/D46-1</f>
        <v>0.14277652370203153</v>
      </c>
      <c r="E7" s="61">
        <f>E5/E46-1</f>
        <v>4.5748255363142976E-2</v>
      </c>
      <c r="F7" s="61">
        <f>F5/F46-1</f>
        <v>0.14943655071043604</v>
      </c>
      <c r="G7" s="61">
        <f>G5/G46-1</f>
        <v>6.1462814996926518E-3</v>
      </c>
      <c r="H7" s="61">
        <f>H5/H46-1</f>
        <v>9.886411442995291E-3</v>
      </c>
      <c r="I7" s="61"/>
      <c r="J7" s="61"/>
      <c r="K7" s="61"/>
      <c r="L7" s="61"/>
      <c r="M7" s="61"/>
      <c r="N7" s="61"/>
      <c r="O7" s="62">
        <f ca="1">+O5/G13-1</f>
        <v>7.1564004083815469E-2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tr">
        <f>'R_PTW 2023vs2022'!C9:D9</f>
        <v>CZERWIEC</v>
      </c>
      <c r="D9" s="191"/>
      <c r="E9" s="192" t="s">
        <v>5</v>
      </c>
      <c r="F9" s="193" t="str">
        <f>"ROK NARASTAJĄCO
STYCZEŃ-"&amp;C9</f>
        <v>ROK NARASTAJĄCO
STYCZEŃ-CZERWIEC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f ca="1">OFFSET(B3,,COUNTA(C3:N3),,)</f>
        <v>3442</v>
      </c>
      <c r="D11" s="66">
        <f ca="1">OFFSET(B44,,COUNTA(C3:N3),,)</f>
        <v>3241</v>
      </c>
      <c r="E11" s="67">
        <f ca="1">+C11/D11-1</f>
        <v>6.201789571120031E-2</v>
      </c>
      <c r="F11" s="66">
        <f>O3</f>
        <v>16423</v>
      </c>
      <c r="G11" s="68">
        <f ca="1">SUM(OFFSET(C44,,,,COUNTA(C3:N3)))</f>
        <v>14488</v>
      </c>
      <c r="H11" s="67">
        <f ca="1">+F11/G11-1</f>
        <v>0.13355880728879077</v>
      </c>
      <c r="I11" s="2"/>
      <c r="O11" s="9"/>
    </row>
    <row r="12" spans="2:18" ht="18" customHeight="1">
      <c r="B12" s="69" t="s">
        <v>21</v>
      </c>
      <c r="C12" s="70">
        <f ca="1">OFFSET(B4,,COUNTA(C4:N4),,)</f>
        <v>1359</v>
      </c>
      <c r="D12" s="70">
        <f ca="1">OFFSET(B45,,COUNTA(C4:N4),,)</f>
        <v>1513</v>
      </c>
      <c r="E12" s="71">
        <f ca="1">+C12/D12-1</f>
        <v>-0.10178453403833443</v>
      </c>
      <c r="F12" s="70">
        <f>O4</f>
        <v>5618</v>
      </c>
      <c r="G12" s="72">
        <f ca="1">SUM(OFFSET(C45,,,,COUNTA(C4:N4)))</f>
        <v>6081</v>
      </c>
      <c r="H12" s="71">
        <f ca="1">+F12/G12-1</f>
        <v>-7.613879296168391E-2</v>
      </c>
      <c r="O12" s="9"/>
      <c r="R12" s="12"/>
    </row>
    <row r="13" spans="2:18" ht="18" customHeight="1">
      <c r="B13" s="73" t="s">
        <v>18</v>
      </c>
      <c r="C13" s="73">
        <f ca="1">SUM(C11:C12)</f>
        <v>4801</v>
      </c>
      <c r="D13" s="73">
        <f ca="1">SUM(D11:D12)</f>
        <v>4754</v>
      </c>
      <c r="E13" s="74">
        <f ca="1">+C13/D13-1</f>
        <v>9.886411442995291E-3</v>
      </c>
      <c r="F13" s="73">
        <f>SUM(F11:F12)</f>
        <v>22041</v>
      </c>
      <c r="G13" s="73">
        <f ca="1">SUM(G11:G12)</f>
        <v>20569</v>
      </c>
      <c r="H13" s="74">
        <f ca="1">+F13/G13-1</f>
        <v>7.1564004083815469E-2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132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f>SUM(C44:N44)</f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f>SUM(C45:N45)</f>
        <v>11414</v>
      </c>
    </row>
    <row r="46" spans="2:15">
      <c r="B46" s="53" t="s">
        <v>90</v>
      </c>
      <c r="C46" s="54">
        <f>SUM(C44:C45)</f>
        <v>1211</v>
      </c>
      <c r="D46" s="54">
        <f>SUM(D44:D45)</f>
        <v>1772</v>
      </c>
      <c r="E46" s="54">
        <f>SUM(E44:E45)</f>
        <v>3869</v>
      </c>
      <c r="F46" s="54">
        <f>SUM(F44:F45)</f>
        <v>4082</v>
      </c>
      <c r="G46" s="54">
        <f t="shared" ref="G46:N46" si="0">SUM(G44:G45)</f>
        <v>4881</v>
      </c>
      <c r="H46" s="54">
        <f t="shared" si="0"/>
        <v>4754</v>
      </c>
      <c r="I46" s="54">
        <f t="shared" si="0"/>
        <v>4105</v>
      </c>
      <c r="J46" s="54">
        <f t="shared" si="0"/>
        <v>3602</v>
      </c>
      <c r="K46" s="54">
        <f t="shared" si="0"/>
        <v>2434</v>
      </c>
      <c r="L46" s="54">
        <f t="shared" si="0"/>
        <v>1873</v>
      </c>
      <c r="M46" s="54">
        <f t="shared" si="0"/>
        <v>1498</v>
      </c>
      <c r="N46" s="54">
        <f t="shared" si="0"/>
        <v>1243</v>
      </c>
      <c r="O46" s="55">
        <f>SUM(C46:N46)</f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>
      <selection activeCell="H9" sqref="H9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f t="shared" ref="O4:O8" si="0">SUM(C4:N4)</f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f t="shared" si="0"/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f t="shared" si="0"/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/>
      <c r="J9" s="85"/>
      <c r="K9" s="85"/>
      <c r="L9" s="85"/>
      <c r="M9" s="85"/>
      <c r="N9" s="85"/>
      <c r="O9" s="86">
        <f t="shared" ref="O9" si="1">SUM(C9:N9)</f>
        <v>16423</v>
      </c>
      <c r="P9" s="2"/>
      <c r="S9" s="12"/>
    </row>
    <row r="10" spans="2:19">
      <c r="B10" s="83" t="s">
        <v>116</v>
      </c>
      <c r="C10" s="87">
        <f>+C9/C8-1</f>
        <v>0.31542056074766345</v>
      </c>
      <c r="D10" s="87">
        <f>+D9/D8-1</f>
        <v>0.19435736677115978</v>
      </c>
      <c r="E10" s="87">
        <f>+E9/E8-1</f>
        <v>0.10820367751060811</v>
      </c>
      <c r="F10" s="87">
        <f>+F9/F8-1</f>
        <v>0.24417391304347835</v>
      </c>
      <c r="G10" s="87">
        <f>+G9/G8-1</f>
        <v>6.0961313012895646E-2</v>
      </c>
      <c r="H10" s="87">
        <f>+H9/H8-1</f>
        <v>6.201789571120031E-2</v>
      </c>
      <c r="I10" s="87"/>
      <c r="J10" s="87"/>
      <c r="K10" s="87"/>
      <c r="L10" s="87"/>
      <c r="M10" s="87"/>
      <c r="N10" s="87"/>
      <c r="O10" s="87">
        <f ca="1">+O9/G14-1</f>
        <v>0.13355880728879077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tr">
        <f>'R_PTW 2023vs2022'!C9:D9</f>
        <v>CZERWIEC</v>
      </c>
      <c r="D12" s="198"/>
      <c r="E12" s="197" t="s">
        <v>5</v>
      </c>
      <c r="F12" s="199" t="str">
        <f>"ROK NARASTAJĄCO
STYCZEŃ-"&amp;C12</f>
        <v>ROK NARASTAJĄCO
STYCZEŃ-CZERWIEC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f ca="1">OFFSET(B9,,COUNTA(C9:N9),,)</f>
        <v>3442</v>
      </c>
      <c r="D14" s="91">
        <f ca="1">OFFSET(B8,,COUNTA(C9:N9),,)</f>
        <v>3241</v>
      </c>
      <c r="E14" s="92">
        <f ca="1">+C14/D14-1</f>
        <v>6.201789571120031E-2</v>
      </c>
      <c r="F14" s="91">
        <f>+O9</f>
        <v>16423</v>
      </c>
      <c r="G14" s="90">
        <f ca="1">SUM(OFFSET(C8,,,,COUNTA(C9:N9)))</f>
        <v>14488</v>
      </c>
      <c r="H14" s="92">
        <f ca="1">+F14/G14-1</f>
        <v>0.13355880728879077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f>SUM(C45:N45)</f>
        <v>5136</v>
      </c>
    </row>
    <row r="46" spans="2:16" hidden="1">
      <c r="C46" s="6" t="e">
        <f>+C45/#REF!</f>
        <v>#REF!</v>
      </c>
      <c r="D46" s="6" t="e">
        <f>+D45/#REF!</f>
        <v>#REF!</v>
      </c>
      <c r="E46" s="6" t="e">
        <f>+E45/#REF!</f>
        <v>#REF!</v>
      </c>
      <c r="F46" s="6" t="e">
        <f>+F45/#REF!</f>
        <v>#REF!</v>
      </c>
      <c r="G46" s="6" t="e">
        <f>+G45/#REF!</f>
        <v>#REF!</v>
      </c>
      <c r="H46" s="6" t="e">
        <f>+H45/#REF!</f>
        <v>#REF!</v>
      </c>
      <c r="I46" s="6" t="e">
        <f>+I45/#REF!</f>
        <v>#REF!</v>
      </c>
      <c r="J46" s="6" t="e">
        <f>+J45/#REF!</f>
        <v>#REF!</v>
      </c>
      <c r="K46" s="6" t="e">
        <f>+K45/#REF!</f>
        <v>#REF!</v>
      </c>
      <c r="L46" s="6" t="e">
        <f>+L45/#REF!</f>
        <v>#REF!</v>
      </c>
      <c r="M46" s="6" t="e">
        <f>+M45/#REF!</f>
        <v>#REF!</v>
      </c>
      <c r="N46" s="6" t="e">
        <f>+N45/#REF!</f>
        <v>#REF!</v>
      </c>
      <c r="O46" s="6" t="e">
        <f>+O45/#REF!</f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f>SUM(C47:N47)</f>
        <v>5756</v>
      </c>
      <c r="P47">
        <f>SUM(C47:F47)</f>
        <v>2401</v>
      </c>
    </row>
    <row r="48" spans="2:16" hidden="1">
      <c r="C48" s="6">
        <f t="shared" ref="C48:O48" si="2">+C47/C7</f>
        <v>0.77073170731707319</v>
      </c>
      <c r="D48" s="6">
        <f t="shared" si="2"/>
        <v>0.58609271523178808</v>
      </c>
      <c r="E48" s="6">
        <f t="shared" si="2"/>
        <v>0.37156995051731895</v>
      </c>
      <c r="F48" s="6">
        <f t="shared" si="2"/>
        <v>0.25242718446601942</v>
      </c>
      <c r="G48" s="6">
        <f t="shared" si="2"/>
        <v>0.22848464394195073</v>
      </c>
      <c r="H48" s="6">
        <f t="shared" si="2"/>
        <v>0.22191011235955055</v>
      </c>
      <c r="I48" s="6">
        <f t="shared" si="2"/>
        <v>0.24061081304168386</v>
      </c>
      <c r="J48" s="6">
        <f t="shared" si="2"/>
        <v>0.20591341077085534</v>
      </c>
      <c r="K48" s="6">
        <f t="shared" si="2"/>
        <v>0.27515400410677621</v>
      </c>
      <c r="L48" s="6">
        <f t="shared" si="2"/>
        <v>0.17284991568296795</v>
      </c>
      <c r="M48" s="6">
        <f t="shared" si="2"/>
        <v>0.21008403361344538</v>
      </c>
      <c r="N48" s="6">
        <f t="shared" si="2"/>
        <v>0.18396946564885497</v>
      </c>
      <c r="O48" s="6">
        <f t="shared" si="2"/>
        <v>0.26385514554205819</v>
      </c>
      <c r="P48" s="2" t="e">
        <f>+P47/S7</f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f>SUM(C49:N49)</f>
        <v>1985</v>
      </c>
    </row>
    <row r="50" spans="2:16" hidden="1">
      <c r="C50" s="6">
        <f t="shared" ref="C50:O50" si="3">+C49/C8</f>
        <v>0.19976635514018692</v>
      </c>
      <c r="D50" s="6">
        <f t="shared" si="3"/>
        <v>0.2170846394984326</v>
      </c>
      <c r="E50" s="6">
        <f t="shared" si="3"/>
        <v>0.24328147100424327</v>
      </c>
      <c r="F50" s="6">
        <f t="shared" si="3"/>
        <v>0.29530434782608694</v>
      </c>
      <c r="G50" s="6">
        <f t="shared" si="3"/>
        <v>0</v>
      </c>
      <c r="H50" s="6">
        <f t="shared" si="3"/>
        <v>0</v>
      </c>
      <c r="I50" s="6">
        <f t="shared" si="3"/>
        <v>0</v>
      </c>
      <c r="J50" s="6">
        <f t="shared" si="3"/>
        <v>0</v>
      </c>
      <c r="K50" s="6">
        <f t="shared" si="3"/>
        <v>0</v>
      </c>
      <c r="L50" s="6">
        <f t="shared" si="3"/>
        <v>0</v>
      </c>
      <c r="M50" s="6">
        <f t="shared" si="3"/>
        <v>0</v>
      </c>
      <c r="N50" s="6">
        <f t="shared" si="3"/>
        <v>0</v>
      </c>
      <c r="O50" s="6">
        <f t="shared" si="3"/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7"/>
  <sheetViews>
    <sheetView showGridLines="0" topLeftCell="N17" zoomScaleNormal="100" workbookViewId="0">
      <selection activeCell="T47" sqref="T47:X47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0" t="s">
        <v>117</v>
      </c>
      <c r="C2" s="200"/>
      <c r="D2" s="200"/>
      <c r="E2" s="200"/>
      <c r="F2" s="200"/>
      <c r="G2" s="200"/>
      <c r="H2" s="200"/>
      <c r="I2" s="27"/>
      <c r="J2" s="201" t="s">
        <v>118</v>
      </c>
      <c r="K2" s="201"/>
      <c r="L2" s="201"/>
      <c r="M2" s="201"/>
      <c r="N2" s="201"/>
      <c r="O2" s="201"/>
      <c r="P2" s="201"/>
      <c r="R2" s="201" t="s">
        <v>119</v>
      </c>
      <c r="S2" s="201"/>
      <c r="T2" s="201"/>
      <c r="U2" s="201"/>
      <c r="V2" s="201"/>
      <c r="W2" s="201"/>
      <c r="X2" s="201"/>
    </row>
    <row r="3" spans="2:24" ht="15" customHeight="1">
      <c r="B3" s="202" t="s">
        <v>64</v>
      </c>
      <c r="C3" s="203" t="s">
        <v>67</v>
      </c>
      <c r="D3" s="203" t="s">
        <v>154</v>
      </c>
      <c r="E3" s="203"/>
      <c r="F3" s="203"/>
      <c r="G3" s="203"/>
      <c r="H3" s="203"/>
      <c r="I3" s="27"/>
      <c r="J3" s="202" t="s">
        <v>68</v>
      </c>
      <c r="K3" s="203" t="s">
        <v>67</v>
      </c>
      <c r="L3" s="203" t="str">
        <f>D3</f>
        <v>Styczeń - Czerwiec</v>
      </c>
      <c r="M3" s="203"/>
      <c r="N3" s="203"/>
      <c r="O3" s="203"/>
      <c r="P3" s="203"/>
      <c r="R3" s="202" t="s">
        <v>70</v>
      </c>
      <c r="S3" s="203" t="s">
        <v>67</v>
      </c>
      <c r="T3" s="203" t="str">
        <f>L3</f>
        <v>Styczeń - Czerwiec</v>
      </c>
      <c r="U3" s="203"/>
      <c r="V3" s="203"/>
      <c r="W3" s="203"/>
      <c r="X3" s="203"/>
    </row>
    <row r="4" spans="2:24" ht="15" customHeight="1">
      <c r="B4" s="202"/>
      <c r="C4" s="203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2"/>
      <c r="K4" s="203"/>
      <c r="L4" s="203">
        <f>D4</f>
        <v>2023</v>
      </c>
      <c r="M4" s="203">
        <f>F4</f>
        <v>2022</v>
      </c>
      <c r="N4" s="204" t="s">
        <v>71</v>
      </c>
      <c r="O4" s="204" t="s">
        <v>120</v>
      </c>
      <c r="P4" s="204" t="s">
        <v>91</v>
      </c>
      <c r="R4" s="202"/>
      <c r="S4" s="203"/>
      <c r="T4" s="203">
        <f>L4</f>
        <v>2023</v>
      </c>
      <c r="U4" s="203">
        <f>M4</f>
        <v>2022</v>
      </c>
      <c r="V4" s="204" t="s">
        <v>71</v>
      </c>
      <c r="W4" s="204" t="s">
        <v>120</v>
      </c>
      <c r="X4" s="204" t="s">
        <v>91</v>
      </c>
    </row>
    <row r="5" spans="2:24" ht="12.75" customHeight="1">
      <c r="B5" s="97">
        <v>1</v>
      </c>
      <c r="C5" s="98" t="s">
        <v>36</v>
      </c>
      <c r="D5" s="99">
        <v>3548</v>
      </c>
      <c r="E5" s="100">
        <v>0.21603848261584363</v>
      </c>
      <c r="F5" s="99">
        <v>2798</v>
      </c>
      <c r="G5" s="100">
        <v>0.19312534511319712</v>
      </c>
      <c r="H5" s="100">
        <v>0.26804860614724801</v>
      </c>
      <c r="J5" s="202"/>
      <c r="K5" s="203"/>
      <c r="L5" s="203"/>
      <c r="M5" s="203"/>
      <c r="N5" s="205"/>
      <c r="O5" s="205"/>
      <c r="P5" s="205"/>
      <c r="R5" s="202"/>
      <c r="S5" s="203"/>
      <c r="T5" s="203"/>
      <c r="U5" s="203"/>
      <c r="V5" s="205"/>
      <c r="W5" s="205"/>
      <c r="X5" s="205"/>
    </row>
    <row r="6" spans="2:24" ht="15">
      <c r="B6" s="102">
        <v>2</v>
      </c>
      <c r="C6" s="103" t="s">
        <v>2</v>
      </c>
      <c r="D6" s="104">
        <v>2000</v>
      </c>
      <c r="E6" s="105">
        <v>0.1217804298849175</v>
      </c>
      <c r="F6" s="104">
        <v>1522</v>
      </c>
      <c r="G6" s="105">
        <v>0.10505245720596355</v>
      </c>
      <c r="H6" s="105">
        <v>0.31406044678055189</v>
      </c>
      <c r="J6" s="180" t="s">
        <v>44</v>
      </c>
      <c r="K6" s="106" t="s">
        <v>36</v>
      </c>
      <c r="L6" s="107">
        <v>1507</v>
      </c>
      <c r="M6" s="107">
        <v>1201</v>
      </c>
      <c r="N6" s="108">
        <f t="shared" ref="N6:N42" si="0">IFERROR(L6/M6-1,"")</f>
        <v>0.25478767693588678</v>
      </c>
      <c r="O6" s="109"/>
      <c r="P6" s="110"/>
      <c r="R6" s="180" t="s">
        <v>58</v>
      </c>
      <c r="S6" s="106" t="s">
        <v>36</v>
      </c>
      <c r="T6" s="107">
        <v>1600</v>
      </c>
      <c r="U6" s="107">
        <v>1157</v>
      </c>
      <c r="V6" s="108">
        <f t="shared" ref="V6:V47" si="1">IFERROR(T6/U6-1,"")</f>
        <v>0.38288677614520306</v>
      </c>
      <c r="W6" s="109"/>
      <c r="X6" s="110"/>
    </row>
    <row r="7" spans="2:24" ht="15">
      <c r="B7" s="97">
        <v>3</v>
      </c>
      <c r="C7" s="98" t="s">
        <v>35</v>
      </c>
      <c r="D7" s="99">
        <v>1780</v>
      </c>
      <c r="E7" s="100">
        <v>0.10838458259757656</v>
      </c>
      <c r="F7" s="99">
        <v>1686</v>
      </c>
      <c r="G7" s="100">
        <v>0.11637217007178355</v>
      </c>
      <c r="H7" s="100">
        <v>5.5753262158956041E-2</v>
      </c>
      <c r="J7" s="181"/>
      <c r="K7" s="111" t="s">
        <v>37</v>
      </c>
      <c r="L7" s="112">
        <v>880</v>
      </c>
      <c r="M7" s="112">
        <v>1132</v>
      </c>
      <c r="N7" s="113">
        <f t="shared" si="0"/>
        <v>-0.22261484098939932</v>
      </c>
      <c r="O7" s="114"/>
      <c r="P7" s="115"/>
      <c r="R7" s="181"/>
      <c r="S7" s="111" t="s">
        <v>35</v>
      </c>
      <c r="T7" s="112">
        <v>471</v>
      </c>
      <c r="U7" s="112">
        <v>596</v>
      </c>
      <c r="V7" s="113">
        <f t="shared" si="1"/>
        <v>-0.20973154362416102</v>
      </c>
      <c r="W7" s="114"/>
      <c r="X7" s="115"/>
    </row>
    <row r="8" spans="2:24" ht="15">
      <c r="B8" s="102">
        <v>4</v>
      </c>
      <c r="C8" s="103" t="s">
        <v>37</v>
      </c>
      <c r="D8" s="104">
        <v>912</v>
      </c>
      <c r="E8" s="105">
        <v>5.5531876027522374E-2</v>
      </c>
      <c r="F8" s="104">
        <v>1132</v>
      </c>
      <c r="G8" s="105">
        <v>7.8133627829928221E-2</v>
      </c>
      <c r="H8" s="105">
        <v>-0.19434628975265023</v>
      </c>
      <c r="J8" s="181"/>
      <c r="K8" s="106" t="s">
        <v>35</v>
      </c>
      <c r="L8" s="107">
        <v>707</v>
      </c>
      <c r="M8" s="107">
        <v>663</v>
      </c>
      <c r="N8" s="108">
        <f t="shared" si="0"/>
        <v>6.6365007541478116E-2</v>
      </c>
      <c r="O8" s="114"/>
      <c r="P8" s="115"/>
      <c r="R8" s="181"/>
      <c r="S8" s="106" t="s">
        <v>84</v>
      </c>
      <c r="T8" s="107">
        <v>406</v>
      </c>
      <c r="U8" s="107">
        <v>367</v>
      </c>
      <c r="V8" s="108">
        <f t="shared" si="1"/>
        <v>0.10626702997275195</v>
      </c>
      <c r="W8" s="114"/>
      <c r="X8" s="115"/>
    </row>
    <row r="9" spans="2:24">
      <c r="B9" s="97">
        <v>5</v>
      </c>
      <c r="C9" s="98" t="s">
        <v>38</v>
      </c>
      <c r="D9" s="99">
        <v>681</v>
      </c>
      <c r="E9" s="100">
        <v>4.1466236375814404E-2</v>
      </c>
      <c r="F9" s="99">
        <v>382</v>
      </c>
      <c r="G9" s="100">
        <v>2.6366648260629486E-2</v>
      </c>
      <c r="H9" s="100">
        <v>0.7827225130890052</v>
      </c>
      <c r="J9" s="182"/>
      <c r="K9" s="116" t="s">
        <v>45</v>
      </c>
      <c r="L9" s="117">
        <f>+L10-SUM(L6:L8)</f>
        <v>3499</v>
      </c>
      <c r="M9" s="117">
        <f>+M10-SUM(M6:M8)</f>
        <v>3346</v>
      </c>
      <c r="N9" s="113">
        <f t="shared" si="0"/>
        <v>4.5726240286909636E-2</v>
      </c>
      <c r="O9" s="118"/>
      <c r="P9" s="119"/>
      <c r="R9" s="182"/>
      <c r="S9" s="116" t="s">
        <v>45</v>
      </c>
      <c r="T9" s="117">
        <f>+T10-SUM(T6:T8)</f>
        <v>1330</v>
      </c>
      <c r="U9" s="117">
        <f>+U10-SUM(U6:U8)</f>
        <v>1363</v>
      </c>
      <c r="V9" s="113">
        <f t="shared" si="1"/>
        <v>-2.4211298606016118E-2</v>
      </c>
      <c r="W9" s="118"/>
      <c r="X9" s="119"/>
    </row>
    <row r="10" spans="2:24">
      <c r="B10" s="102">
        <v>6</v>
      </c>
      <c r="C10" s="103" t="s">
        <v>57</v>
      </c>
      <c r="D10" s="104">
        <v>666</v>
      </c>
      <c r="E10" s="105">
        <v>4.0552883151677523E-2</v>
      </c>
      <c r="F10" s="104">
        <v>463</v>
      </c>
      <c r="G10" s="105">
        <v>3.1957482054113751E-2</v>
      </c>
      <c r="H10" s="105">
        <v>0.43844492440604754</v>
      </c>
      <c r="J10" s="120" t="s">
        <v>46</v>
      </c>
      <c r="K10" s="121"/>
      <c r="L10" s="122">
        <v>6593</v>
      </c>
      <c r="M10" s="122">
        <v>6342</v>
      </c>
      <c r="N10" s="123">
        <f>IFERROR(L10/M10-1,"")</f>
        <v>3.9577420372122418E-2</v>
      </c>
      <c r="O10" s="124">
        <f>L10/$L$42</f>
        <v>0.40144918711563055</v>
      </c>
      <c r="P10" s="124">
        <f>M10/$M$42</f>
        <v>0.43774157923799006</v>
      </c>
      <c r="R10" s="120" t="str">
        <f>R6&amp;" Suma"</f>
        <v>BIG SCOOTER Suma</v>
      </c>
      <c r="S10" s="121"/>
      <c r="T10" s="122">
        <v>3807</v>
      </c>
      <c r="U10" s="122">
        <v>3483</v>
      </c>
      <c r="V10" s="123">
        <f t="shared" si="1"/>
        <v>9.3023255813953432E-2</v>
      </c>
      <c r="W10" s="124">
        <f>T10/$L$42</f>
        <v>0.23180904828594046</v>
      </c>
      <c r="X10" s="124">
        <f>U10/$M$42</f>
        <v>0.24040585311982329</v>
      </c>
    </row>
    <row r="11" spans="2:24" ht="15">
      <c r="B11" s="97">
        <v>7</v>
      </c>
      <c r="C11" s="98" t="s">
        <v>41</v>
      </c>
      <c r="D11" s="99">
        <v>656</v>
      </c>
      <c r="E11" s="100">
        <v>3.9943981002252937E-2</v>
      </c>
      <c r="F11" s="99">
        <v>499</v>
      </c>
      <c r="G11" s="100">
        <v>3.4442297073440091E-2</v>
      </c>
      <c r="H11" s="100">
        <v>0.31462925851703405</v>
      </c>
      <c r="J11" s="180" t="s">
        <v>47</v>
      </c>
      <c r="K11" s="125" t="s">
        <v>41</v>
      </c>
      <c r="L11" s="107">
        <v>38</v>
      </c>
      <c r="M11" s="107">
        <v>51</v>
      </c>
      <c r="N11" s="108">
        <f t="shared" si="0"/>
        <v>-0.25490196078431371</v>
      </c>
      <c r="O11" s="109"/>
      <c r="P11" s="110"/>
      <c r="R11" s="180" t="s">
        <v>59</v>
      </c>
      <c r="S11" s="125" t="s">
        <v>37</v>
      </c>
      <c r="T11" s="107">
        <v>328</v>
      </c>
      <c r="U11" s="107">
        <v>485</v>
      </c>
      <c r="V11" s="108">
        <f t="shared" si="1"/>
        <v>-0.32371134020618553</v>
      </c>
      <c r="W11" s="109"/>
      <c r="X11" s="110"/>
    </row>
    <row r="12" spans="2:24" ht="15">
      <c r="B12" s="102">
        <v>8</v>
      </c>
      <c r="C12" s="103" t="s">
        <v>89</v>
      </c>
      <c r="D12" s="104">
        <v>649</v>
      </c>
      <c r="E12" s="105">
        <v>3.9517749497655727E-2</v>
      </c>
      <c r="F12" s="104">
        <v>525</v>
      </c>
      <c r="G12" s="105">
        <v>3.6236885698509108E-2</v>
      </c>
      <c r="H12" s="105">
        <v>0.23619047619047628</v>
      </c>
      <c r="J12" s="181"/>
      <c r="K12" s="126" t="s">
        <v>77</v>
      </c>
      <c r="L12" s="112">
        <v>34</v>
      </c>
      <c r="M12" s="112">
        <v>28</v>
      </c>
      <c r="N12" s="113">
        <f t="shared" si="0"/>
        <v>0.21428571428571419</v>
      </c>
      <c r="O12" s="114"/>
      <c r="P12" s="115"/>
      <c r="R12" s="181"/>
      <c r="S12" s="126" t="s">
        <v>36</v>
      </c>
      <c r="T12" s="112">
        <v>199</v>
      </c>
      <c r="U12" s="112">
        <v>157</v>
      </c>
      <c r="V12" s="113">
        <f t="shared" si="1"/>
        <v>0.26751592356687892</v>
      </c>
      <c r="W12" s="114"/>
      <c r="X12" s="115"/>
    </row>
    <row r="13" spans="2:24" ht="15">
      <c r="B13" s="97">
        <v>9</v>
      </c>
      <c r="C13" s="98" t="s">
        <v>79</v>
      </c>
      <c r="D13" s="99">
        <v>575</v>
      </c>
      <c r="E13" s="100">
        <v>3.5011873591913781E-2</v>
      </c>
      <c r="F13" s="99">
        <v>480</v>
      </c>
      <c r="G13" s="100">
        <v>3.3130866924351188E-2</v>
      </c>
      <c r="H13" s="100">
        <v>0.19791666666666674</v>
      </c>
      <c r="J13" s="181"/>
      <c r="K13" s="125" t="s">
        <v>147</v>
      </c>
      <c r="L13" s="107">
        <v>15</v>
      </c>
      <c r="M13" s="107">
        <v>19</v>
      </c>
      <c r="N13" s="108">
        <f t="shared" si="0"/>
        <v>-0.21052631578947367</v>
      </c>
      <c r="O13" s="114"/>
      <c r="P13" s="115"/>
      <c r="R13" s="181"/>
      <c r="S13" s="125" t="s">
        <v>104</v>
      </c>
      <c r="T13" s="107">
        <v>195</v>
      </c>
      <c r="U13" s="107">
        <v>197</v>
      </c>
      <c r="V13" s="108">
        <f t="shared" si="1"/>
        <v>-1.0152284263959421E-2</v>
      </c>
      <c r="W13" s="114"/>
      <c r="X13" s="115"/>
    </row>
    <row r="14" spans="2:24">
      <c r="B14" s="102">
        <v>10</v>
      </c>
      <c r="C14" s="103" t="s">
        <v>146</v>
      </c>
      <c r="D14" s="104">
        <v>440</v>
      </c>
      <c r="E14" s="105">
        <v>2.6791694574681849E-2</v>
      </c>
      <c r="F14" s="104">
        <v>490</v>
      </c>
      <c r="G14" s="105">
        <v>3.3821093318608504E-2</v>
      </c>
      <c r="H14" s="105">
        <v>-0.10204081632653061</v>
      </c>
      <c r="J14" s="182"/>
      <c r="K14" s="116" t="s">
        <v>45</v>
      </c>
      <c r="L14" s="117">
        <f>+L15-SUM(L11:L13)</f>
        <v>58</v>
      </c>
      <c r="M14" s="117">
        <f>+M15-SUM(M11:M13)</f>
        <v>45</v>
      </c>
      <c r="N14" s="113">
        <f t="shared" si="0"/>
        <v>0.28888888888888897</v>
      </c>
      <c r="O14" s="118"/>
      <c r="P14" s="119"/>
      <c r="R14" s="182"/>
      <c r="S14" s="116" t="s">
        <v>45</v>
      </c>
      <c r="T14" s="117">
        <f>+T15-SUM(T11:T13)</f>
        <v>512</v>
      </c>
      <c r="U14" s="117">
        <f>+U15-SUM(U11:U13)</f>
        <v>568</v>
      </c>
      <c r="V14" s="113">
        <f t="shared" si="1"/>
        <v>-9.8591549295774628E-2</v>
      </c>
      <c r="W14" s="118"/>
      <c r="X14" s="119"/>
    </row>
    <row r="15" spans="2:24">
      <c r="B15" s="207" t="s">
        <v>42</v>
      </c>
      <c r="C15" s="207"/>
      <c r="D15" s="127">
        <f>SUM(D5:D14)</f>
        <v>11907</v>
      </c>
      <c r="E15" s="128">
        <f>SUM(E5:E14)</f>
        <v>0.72501978931985633</v>
      </c>
      <c r="F15" s="127">
        <f>SUM(F5:F14)</f>
        <v>9977</v>
      </c>
      <c r="G15" s="128">
        <f>SUM(G5:G14)</f>
        <v>0.68863887355052456</v>
      </c>
      <c r="H15" s="129">
        <f>+D15/F15-1</f>
        <v>0.19344492332364438</v>
      </c>
      <c r="J15" s="120" t="s">
        <v>48</v>
      </c>
      <c r="K15" s="121"/>
      <c r="L15" s="122">
        <v>145</v>
      </c>
      <c r="M15" s="122">
        <v>143</v>
      </c>
      <c r="N15" s="123">
        <f t="shared" si="0"/>
        <v>1.3986013986013957E-2</v>
      </c>
      <c r="O15" s="124">
        <f>L15/$L$42</f>
        <v>8.8290811666565175E-3</v>
      </c>
      <c r="P15" s="124">
        <f>M15/$M$42</f>
        <v>9.8702374378796254E-3</v>
      </c>
      <c r="R15" s="120" t="str">
        <f>R11&amp;" Suma"</f>
        <v>CHOPPER &amp; CRUISER Suma</v>
      </c>
      <c r="S15" s="121"/>
      <c r="T15" s="122">
        <v>1234</v>
      </c>
      <c r="U15" s="122">
        <v>1407</v>
      </c>
      <c r="V15" s="123">
        <f t="shared" si="1"/>
        <v>-0.12295664534470507</v>
      </c>
      <c r="W15" s="124">
        <f>T15/$L$42</f>
        <v>7.51385252389941E-2</v>
      </c>
      <c r="X15" s="124">
        <f>U15/$M$42</f>
        <v>9.7114853672004411E-2</v>
      </c>
    </row>
    <row r="16" spans="2:24" ht="15">
      <c r="B16" s="207" t="s">
        <v>43</v>
      </c>
      <c r="C16" s="207"/>
      <c r="D16" s="127">
        <f>+D17-D15</f>
        <v>4516</v>
      </c>
      <c r="E16" s="128">
        <f>+D16/D17</f>
        <v>0.27498021068014372</v>
      </c>
      <c r="F16" s="127">
        <f>+F17-F15</f>
        <v>4511</v>
      </c>
      <c r="G16" s="128">
        <f>+F16/F17</f>
        <v>0.31136112644947544</v>
      </c>
      <c r="H16" s="129">
        <f>+D16/F16-1</f>
        <v>1.1084016847706657E-3</v>
      </c>
      <c r="J16" s="180" t="s">
        <v>49</v>
      </c>
      <c r="K16" s="106" t="s">
        <v>36</v>
      </c>
      <c r="L16" s="107">
        <v>725</v>
      </c>
      <c r="M16" s="107">
        <v>684</v>
      </c>
      <c r="N16" s="108">
        <f t="shared" si="0"/>
        <v>5.9941520467836185E-2</v>
      </c>
      <c r="O16" s="109"/>
      <c r="P16" s="110"/>
      <c r="R16" s="180" t="s">
        <v>60</v>
      </c>
      <c r="S16" s="125" t="s">
        <v>35</v>
      </c>
      <c r="T16" s="107">
        <v>672</v>
      </c>
      <c r="U16" s="107">
        <v>454</v>
      </c>
      <c r="V16" s="108">
        <f t="shared" si="1"/>
        <v>0.48017621145374445</v>
      </c>
      <c r="W16" s="109"/>
      <c r="X16" s="110"/>
    </row>
    <row r="17" spans="2:24" ht="15">
      <c r="B17" s="208" t="s">
        <v>18</v>
      </c>
      <c r="C17" s="208"/>
      <c r="D17" s="130">
        <v>16423</v>
      </c>
      <c r="E17" s="131">
        <v>1</v>
      </c>
      <c r="F17" s="130">
        <v>14488</v>
      </c>
      <c r="G17" s="131">
        <v>0.99999999999999989</v>
      </c>
      <c r="H17" s="132">
        <v>0.13355880728879077</v>
      </c>
      <c r="J17" s="181"/>
      <c r="K17" s="111" t="s">
        <v>41</v>
      </c>
      <c r="L17" s="112">
        <v>292</v>
      </c>
      <c r="M17" s="112">
        <v>212</v>
      </c>
      <c r="N17" s="113">
        <f t="shared" si="0"/>
        <v>0.37735849056603765</v>
      </c>
      <c r="O17" s="114"/>
      <c r="P17" s="115"/>
      <c r="R17" s="181"/>
      <c r="S17" s="126" t="s">
        <v>36</v>
      </c>
      <c r="T17" s="112">
        <v>636</v>
      </c>
      <c r="U17" s="112">
        <v>558</v>
      </c>
      <c r="V17" s="113">
        <f t="shared" si="1"/>
        <v>0.13978494623655924</v>
      </c>
      <c r="W17" s="114"/>
      <c r="X17" s="115"/>
    </row>
    <row r="18" spans="2:24" ht="15">
      <c r="B18" s="209" t="s">
        <v>88</v>
      </c>
      <c r="C18" s="209"/>
      <c r="D18" s="209"/>
      <c r="E18" s="209"/>
      <c r="F18" s="209"/>
      <c r="G18" s="209"/>
      <c r="H18" s="209"/>
      <c r="J18" s="181"/>
      <c r="K18" s="106" t="s">
        <v>2</v>
      </c>
      <c r="L18" s="107">
        <v>178</v>
      </c>
      <c r="M18" s="107">
        <v>202</v>
      </c>
      <c r="N18" s="108">
        <f t="shared" si="0"/>
        <v>-0.11881188118811881</v>
      </c>
      <c r="O18" s="114"/>
      <c r="P18" s="115"/>
      <c r="R18" s="181"/>
      <c r="S18" s="125" t="s">
        <v>57</v>
      </c>
      <c r="T18" s="107">
        <v>540</v>
      </c>
      <c r="U18" s="107">
        <v>462</v>
      </c>
      <c r="V18" s="108">
        <f t="shared" si="1"/>
        <v>0.16883116883116878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f>+L20-SUM(L16:L18)</f>
        <v>976</v>
      </c>
      <c r="M19" s="117">
        <f>+M20-SUM(M16:M18)</f>
        <v>979</v>
      </c>
      <c r="N19" s="113">
        <f t="shared" si="0"/>
        <v>-3.0643513789581078E-3</v>
      </c>
      <c r="O19" s="118"/>
      <c r="P19" s="119"/>
      <c r="R19" s="182"/>
      <c r="S19" s="116" t="s">
        <v>45</v>
      </c>
      <c r="T19" s="117">
        <f>+T20-SUM(T16:T18)</f>
        <v>2885</v>
      </c>
      <c r="U19" s="117">
        <f>+U20-SUM(U16:U18)</f>
        <v>2911</v>
      </c>
      <c r="V19" s="113">
        <f t="shared" si="1"/>
        <v>-8.9316386121607305E-3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2171</v>
      </c>
      <c r="M20" s="122">
        <v>2077</v>
      </c>
      <c r="N20" s="123">
        <f t="shared" si="0"/>
        <v>4.5257583052479511E-2</v>
      </c>
      <c r="O20" s="124">
        <f>L20/$L$42</f>
        <v>0.13219265664007793</v>
      </c>
      <c r="P20" s="124">
        <f>M20/$M$42</f>
        <v>0.1433600220872446</v>
      </c>
      <c r="R20" s="120" t="str">
        <f>R16&amp;" Suma"</f>
        <v>STREET Suma</v>
      </c>
      <c r="S20" s="120"/>
      <c r="T20" s="122">
        <v>4733</v>
      </c>
      <c r="U20" s="122">
        <v>4385</v>
      </c>
      <c r="V20" s="123">
        <f t="shared" si="1"/>
        <v>7.9361459521094746E-2</v>
      </c>
      <c r="W20" s="124">
        <f>T20/$L$42</f>
        <v>0.28819338732265726</v>
      </c>
      <c r="X20" s="124">
        <f>U20/$M$42</f>
        <v>0.30266427388183326</v>
      </c>
    </row>
    <row r="21" spans="2:24" ht="12.75" customHeight="1">
      <c r="J21" s="180" t="s">
        <v>51</v>
      </c>
      <c r="K21" s="125" t="s">
        <v>35</v>
      </c>
      <c r="L21" s="107">
        <v>609</v>
      </c>
      <c r="M21" s="107">
        <v>653</v>
      </c>
      <c r="N21" s="108">
        <f t="shared" si="0"/>
        <v>-6.738131699846861E-2</v>
      </c>
      <c r="O21" s="109"/>
      <c r="P21" s="110"/>
      <c r="R21" s="180" t="s">
        <v>85</v>
      </c>
      <c r="S21" s="125" t="s">
        <v>38</v>
      </c>
      <c r="T21" s="107">
        <v>57</v>
      </c>
      <c r="U21" s="107">
        <v>31</v>
      </c>
      <c r="V21" s="108">
        <f t="shared" si="1"/>
        <v>0.83870967741935476</v>
      </c>
      <c r="W21" s="109"/>
      <c r="X21" s="110"/>
    </row>
    <row r="22" spans="2:24" ht="15">
      <c r="J22" s="181"/>
      <c r="K22" s="126" t="s">
        <v>36</v>
      </c>
      <c r="L22" s="112">
        <v>533</v>
      </c>
      <c r="M22" s="112">
        <v>427</v>
      </c>
      <c r="N22" s="113">
        <f t="shared" si="0"/>
        <v>0.24824355971896961</v>
      </c>
      <c r="O22" s="114"/>
      <c r="P22" s="115"/>
      <c r="R22" s="181"/>
      <c r="S22" s="126" t="s">
        <v>40</v>
      </c>
      <c r="T22" s="112">
        <v>41</v>
      </c>
      <c r="U22" s="112">
        <v>22</v>
      </c>
      <c r="V22" s="113">
        <f t="shared" si="1"/>
        <v>0.86363636363636354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264</v>
      </c>
      <c r="M23" s="107">
        <v>188</v>
      </c>
      <c r="N23" s="108">
        <f t="shared" si="0"/>
        <v>0.4042553191489362</v>
      </c>
      <c r="O23" s="114"/>
      <c r="P23" s="115"/>
      <c r="R23" s="181"/>
      <c r="S23" s="125" t="s">
        <v>2</v>
      </c>
      <c r="T23" s="107">
        <v>37</v>
      </c>
      <c r="U23" s="107">
        <v>15</v>
      </c>
      <c r="V23" s="108">
        <f t="shared" si="1"/>
        <v>1.4666666666666668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f>+L25-SUM(L21:L23)</f>
        <v>689</v>
      </c>
      <c r="M24" s="117">
        <f>+M25-SUM(M21:M23)</f>
        <v>494</v>
      </c>
      <c r="N24" s="113">
        <f t="shared" si="0"/>
        <v>0.39473684210526305</v>
      </c>
      <c r="O24" s="118"/>
      <c r="P24" s="119"/>
      <c r="R24" s="182"/>
      <c r="S24" s="116" t="s">
        <v>45</v>
      </c>
      <c r="T24" s="117">
        <f>+T25-SUM(T21:T23)</f>
        <v>4</v>
      </c>
      <c r="U24" s="117">
        <f>+U25-SUM(U21:U23)</f>
        <v>3</v>
      </c>
      <c r="V24" s="113">
        <f t="shared" si="1"/>
        <v>0.33333333333333326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2095</v>
      </c>
      <c r="M25" s="122">
        <v>1762</v>
      </c>
      <c r="N25" s="123">
        <f t="shared" si="0"/>
        <v>0.18898978433598179</v>
      </c>
      <c r="O25" s="124">
        <f>L25/$L$42</f>
        <v>0.12756500030445109</v>
      </c>
      <c r="P25" s="124">
        <f>M25/$M$42</f>
        <v>0.12161789066813915</v>
      </c>
      <c r="R25" s="120" t="str">
        <f>R21&amp;" Suma"</f>
        <v>SPORT-TOURER Suma</v>
      </c>
      <c r="S25" s="121"/>
      <c r="T25" s="122">
        <v>139</v>
      </c>
      <c r="U25" s="122">
        <v>71</v>
      </c>
      <c r="V25" s="123">
        <f t="shared" si="1"/>
        <v>0.95774647887323949</v>
      </c>
      <c r="W25" s="124">
        <f>T25/$L$42</f>
        <v>8.463739877001766E-3</v>
      </c>
      <c r="X25" s="124">
        <f>U25/$M$42</f>
        <v>4.9006073992269462E-3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563</v>
      </c>
      <c r="M26" s="107">
        <v>383</v>
      </c>
      <c r="N26" s="108">
        <f t="shared" si="0"/>
        <v>0.46997389033942549</v>
      </c>
      <c r="O26" s="109"/>
      <c r="P26" s="110"/>
      <c r="R26" s="180" t="s">
        <v>61</v>
      </c>
      <c r="S26" s="125" t="s">
        <v>36</v>
      </c>
      <c r="T26" s="107">
        <v>151</v>
      </c>
      <c r="U26" s="107">
        <v>137</v>
      </c>
      <c r="V26" s="108">
        <f t="shared" si="1"/>
        <v>0.10218978102189791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327</v>
      </c>
      <c r="M27" s="112">
        <v>207</v>
      </c>
      <c r="N27" s="113">
        <f t="shared" si="0"/>
        <v>0.57971014492753614</v>
      </c>
      <c r="O27" s="114"/>
      <c r="P27" s="115"/>
      <c r="R27" s="181"/>
      <c r="S27" s="126" t="s">
        <v>35</v>
      </c>
      <c r="T27" s="112">
        <v>121</v>
      </c>
      <c r="U27" s="112">
        <v>124</v>
      </c>
      <c r="V27" s="113">
        <f t="shared" si="1"/>
        <v>-2.4193548387096753E-2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89</v>
      </c>
      <c r="L28" s="107">
        <v>304</v>
      </c>
      <c r="M28" s="107">
        <v>224</v>
      </c>
      <c r="N28" s="108">
        <f t="shared" si="0"/>
        <v>0.35714285714285721</v>
      </c>
      <c r="O28" s="114"/>
      <c r="P28" s="115"/>
      <c r="R28" s="181"/>
      <c r="S28" s="125" t="s">
        <v>2</v>
      </c>
      <c r="T28" s="107">
        <v>88</v>
      </c>
      <c r="U28" s="107">
        <v>61</v>
      </c>
      <c r="V28" s="108">
        <f t="shared" si="1"/>
        <v>0.44262295081967218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f>+L30-SUM(L26:L28)</f>
        <v>1033</v>
      </c>
      <c r="M29" s="117">
        <f>+M30-SUM(M26:M28)</f>
        <v>603</v>
      </c>
      <c r="N29" s="113">
        <f t="shared" si="0"/>
        <v>0.71310116086235498</v>
      </c>
      <c r="O29" s="118"/>
      <c r="P29" s="119"/>
      <c r="R29" s="182"/>
      <c r="S29" s="116" t="s">
        <v>45</v>
      </c>
      <c r="T29" s="117">
        <f>+T30-SUM(T26:T28)</f>
        <v>212</v>
      </c>
      <c r="U29" s="117">
        <f>+U30-SUM(U26:U28)</f>
        <v>143</v>
      </c>
      <c r="V29" s="113">
        <f t="shared" si="1"/>
        <v>0.4825174825174825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2227</v>
      </c>
      <c r="M30" s="122">
        <v>1417</v>
      </c>
      <c r="N30" s="123">
        <f t="shared" si="0"/>
        <v>0.57163020465772751</v>
      </c>
      <c r="O30" s="124">
        <f>L30/$L$42</f>
        <v>0.13560250867685564</v>
      </c>
      <c r="P30" s="124">
        <f>M30/$M$42</f>
        <v>9.7805080066261735E-2</v>
      </c>
      <c r="R30" s="120" t="str">
        <f>R26&amp;" Suma"</f>
        <v>SUPERSPORT Suma</v>
      </c>
      <c r="S30" s="121"/>
      <c r="T30" s="122">
        <v>572</v>
      </c>
      <c r="U30" s="122">
        <v>465</v>
      </c>
      <c r="V30" s="123">
        <f t="shared" si="1"/>
        <v>0.23010752688172054</v>
      </c>
      <c r="W30" s="124">
        <f>T30/$L$42</f>
        <v>3.4829202947086406E-2</v>
      </c>
      <c r="X30" s="124">
        <f>U30/$M$42</f>
        <v>3.209552733296521E-2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1212</v>
      </c>
      <c r="M31" s="107">
        <v>912</v>
      </c>
      <c r="N31" s="108">
        <f>IFERROR(L31/M31-1,"")</f>
        <v>0.32894736842105265</v>
      </c>
      <c r="O31" s="109"/>
      <c r="P31" s="110"/>
      <c r="R31" s="180" t="s">
        <v>69</v>
      </c>
      <c r="S31" s="125" t="s">
        <v>2</v>
      </c>
      <c r="T31" s="107">
        <v>344</v>
      </c>
      <c r="U31" s="107">
        <v>265</v>
      </c>
      <c r="V31" s="108">
        <f t="shared" si="1"/>
        <v>0.29811320754716975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506</v>
      </c>
      <c r="M32" s="112">
        <v>463</v>
      </c>
      <c r="N32" s="113">
        <f>IFERROR(L32/M32-1,"")</f>
        <v>9.2872570194384441E-2</v>
      </c>
      <c r="O32" s="114"/>
      <c r="P32" s="115"/>
      <c r="R32" s="181"/>
      <c r="S32" s="126" t="s">
        <v>35</v>
      </c>
      <c r="T32" s="112">
        <v>256</v>
      </c>
      <c r="U32" s="112">
        <v>219</v>
      </c>
      <c r="V32" s="113">
        <f t="shared" si="1"/>
        <v>0.16894977168949765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104</v>
      </c>
      <c r="L33" s="107">
        <v>312</v>
      </c>
      <c r="M33" s="107">
        <v>343</v>
      </c>
      <c r="N33" s="108">
        <f>IFERROR(L33/M33-1,"")</f>
        <v>-9.0379008746355738E-2</v>
      </c>
      <c r="O33" s="114"/>
      <c r="P33" s="115"/>
      <c r="R33" s="181"/>
      <c r="S33" s="125" t="s">
        <v>79</v>
      </c>
      <c r="T33" s="107">
        <v>159</v>
      </c>
      <c r="U33" s="107">
        <v>62</v>
      </c>
      <c r="V33" s="108">
        <f t="shared" si="1"/>
        <v>1.564516129032258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f>+L35-SUM(L31:L33)</f>
        <v>873</v>
      </c>
      <c r="M34" s="117">
        <f>+M35-SUM(M31:M33)</f>
        <v>701</v>
      </c>
      <c r="N34" s="113">
        <f t="shared" ref="N34:N35" si="2">IFERROR(L34/M34-1,"")</f>
        <v>0.24536376604850219</v>
      </c>
      <c r="O34" s="118"/>
      <c r="P34" s="119"/>
      <c r="R34" s="182"/>
      <c r="S34" s="116" t="s">
        <v>45</v>
      </c>
      <c r="T34" s="117">
        <f>+T35-SUM(T31:T33)</f>
        <v>632</v>
      </c>
      <c r="U34" s="117">
        <f>+U35-SUM(U31:U33)</f>
        <v>506</v>
      </c>
      <c r="V34" s="113">
        <f t="shared" si="1"/>
        <v>0.24901185770750978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2903</v>
      </c>
      <c r="M35" s="122">
        <v>2419</v>
      </c>
      <c r="N35" s="123">
        <f t="shared" si="2"/>
        <v>0.20008267879288955</v>
      </c>
      <c r="O35" s="124">
        <f>L35/$L$42</f>
        <v>0.17676429397795773</v>
      </c>
      <c r="P35" s="124">
        <f>M35/$M$42</f>
        <v>0.16696576477084485</v>
      </c>
      <c r="R35" s="120" t="str">
        <f>R31&amp;" Suma"</f>
        <v>TOURIST Suma</v>
      </c>
      <c r="S35" s="121"/>
      <c r="T35" s="122">
        <v>1391</v>
      </c>
      <c r="U35" s="122">
        <v>1052</v>
      </c>
      <c r="V35" s="123">
        <f t="shared" si="1"/>
        <v>0.32224334600760463</v>
      </c>
      <c r="W35" s="124">
        <f>T35/$L$42</f>
        <v>8.469828898496011E-2</v>
      </c>
      <c r="X35" s="124">
        <f>U35/$M$42</f>
        <v>7.2611816675869689E-2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148</v>
      </c>
      <c r="L36" s="107">
        <v>52</v>
      </c>
      <c r="M36" s="107">
        <v>10</v>
      </c>
      <c r="N36" s="108">
        <f t="shared" ref="N36:N39" si="3">IFERROR(L36/M36-1,"")</f>
        <v>4.2</v>
      </c>
      <c r="O36" s="109"/>
      <c r="P36" s="110"/>
      <c r="R36" s="180" t="s">
        <v>62</v>
      </c>
      <c r="S36" s="125" t="s">
        <v>2</v>
      </c>
      <c r="T36" s="107">
        <v>1014</v>
      </c>
      <c r="U36" s="107">
        <v>782</v>
      </c>
      <c r="V36" s="108">
        <f t="shared" si="1"/>
        <v>0.29667519181585678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47</v>
      </c>
      <c r="M37" s="112">
        <v>24</v>
      </c>
      <c r="N37" s="113">
        <f t="shared" si="3"/>
        <v>0.95833333333333326</v>
      </c>
      <c r="O37" s="114"/>
      <c r="P37" s="115"/>
      <c r="R37" s="181"/>
      <c r="S37" s="126" t="s">
        <v>36</v>
      </c>
      <c r="T37" s="112">
        <v>659</v>
      </c>
      <c r="U37" s="112">
        <v>450</v>
      </c>
      <c r="V37" s="113">
        <f t="shared" si="1"/>
        <v>0.46444444444444444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103</v>
      </c>
      <c r="L38" s="107">
        <v>39</v>
      </c>
      <c r="M38" s="107">
        <v>50</v>
      </c>
      <c r="N38" s="108">
        <f t="shared" si="3"/>
        <v>-0.21999999999999997</v>
      </c>
      <c r="O38" s="114"/>
      <c r="P38" s="115"/>
      <c r="R38" s="181"/>
      <c r="S38" s="125" t="s">
        <v>89</v>
      </c>
      <c r="T38" s="107">
        <v>341</v>
      </c>
      <c r="U38" s="107">
        <v>265</v>
      </c>
      <c r="V38" s="108">
        <f t="shared" si="1"/>
        <v>0.28679245283018862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f>+L40-SUM(L36:L38)</f>
        <v>151</v>
      </c>
      <c r="M39" s="117">
        <f>+M40-SUM(M36:M38)</f>
        <v>244</v>
      </c>
      <c r="N39" s="113">
        <f t="shared" si="3"/>
        <v>-0.38114754098360659</v>
      </c>
      <c r="O39" s="118"/>
      <c r="P39" s="119"/>
      <c r="R39" s="182"/>
      <c r="S39" s="116" t="s">
        <v>45</v>
      </c>
      <c r="T39" s="117">
        <f>+T40-SUM(T36:T38)</f>
        <v>1568</v>
      </c>
      <c r="U39" s="117">
        <f>+U40-SUM(U36:U38)</f>
        <v>1304</v>
      </c>
      <c r="V39" s="108">
        <f t="shared" si="1"/>
        <v>0.20245398773006129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124</v>
      </c>
      <c r="K40" s="177"/>
      <c r="L40" s="122">
        <v>289</v>
      </c>
      <c r="M40" s="122">
        <v>328</v>
      </c>
      <c r="N40" s="123">
        <f t="shared" si="0"/>
        <v>-0.11890243902439024</v>
      </c>
      <c r="O40" s="124">
        <f>L40/$L$42</f>
        <v>1.7597272118370578E-2</v>
      </c>
      <c r="P40" s="124">
        <f>M40/$M$42</f>
        <v>2.2639425731639979E-2</v>
      </c>
      <c r="R40" s="120" t="str">
        <f>R36&amp;" Suma"</f>
        <v>ON/OFF Suma</v>
      </c>
      <c r="S40" s="121"/>
      <c r="T40" s="122">
        <v>3582</v>
      </c>
      <c r="U40" s="122">
        <v>2801</v>
      </c>
      <c r="V40" s="123">
        <f t="shared" si="1"/>
        <v>0.27882898964655478</v>
      </c>
      <c r="W40" s="124">
        <f>T40/$L$42</f>
        <v>0.21810874992388724</v>
      </c>
      <c r="X40" s="124">
        <f>U40/$M$42</f>
        <v>0.19333241303147433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 t="str">
        <f t="shared" si="0"/>
        <v/>
      </c>
      <c r="O41" s="136">
        <f>L41/$L$42</f>
        <v>0</v>
      </c>
      <c r="P41" s="136">
        <f>M41/$M$42</f>
        <v>0</v>
      </c>
      <c r="R41" s="180" t="s">
        <v>63</v>
      </c>
      <c r="S41" s="125" t="s">
        <v>41</v>
      </c>
      <c r="T41" s="107">
        <v>234</v>
      </c>
      <c r="U41" s="107">
        <v>228</v>
      </c>
      <c r="V41" s="108">
        <f t="shared" si="1"/>
        <v>2.6315789473684292E-2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6" t="s">
        <v>18</v>
      </c>
      <c r="K42" s="206"/>
      <c r="L42" s="130">
        <f>L35+L30+L25+L20+L15+L10+L40</f>
        <v>16423</v>
      </c>
      <c r="M42" s="130">
        <f>M35+M30+M25+M20+M15+M10+M40</f>
        <v>14488</v>
      </c>
      <c r="N42" s="136">
        <f t="shared" si="0"/>
        <v>0.13355880728879077</v>
      </c>
      <c r="O42" s="137">
        <v>1</v>
      </c>
      <c r="P42" s="137">
        <v>1</v>
      </c>
      <c r="R42" s="181"/>
      <c r="S42" s="126" t="s">
        <v>77</v>
      </c>
      <c r="T42" s="112">
        <v>156</v>
      </c>
      <c r="U42" s="112">
        <v>126</v>
      </c>
      <c r="V42" s="113">
        <f t="shared" si="1"/>
        <v>0.23809523809523814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149</v>
      </c>
      <c r="U43" s="107">
        <v>199</v>
      </c>
      <c r="V43" s="108">
        <f t="shared" si="1"/>
        <v>-0.25125628140703515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f>+T45-SUM(T41:T43)</f>
        <v>324</v>
      </c>
      <c r="U44" s="117">
        <f>+U45-SUM(U41:U43)</f>
        <v>204</v>
      </c>
      <c r="V44" s="113">
        <f t="shared" si="1"/>
        <v>0.58823529411764697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tr">
        <f>R41&amp;" Suma"</f>
        <v>OFF ROAD Suma</v>
      </c>
      <c r="S45" s="121"/>
      <c r="T45" s="122">
        <v>863</v>
      </c>
      <c r="U45" s="122">
        <v>757</v>
      </c>
      <c r="V45" s="123">
        <f t="shared" si="1"/>
        <v>0.14002642007926025</v>
      </c>
      <c r="W45" s="124">
        <f>T45/$L$42</f>
        <v>5.2548255495341901E-2</v>
      </c>
      <c r="X45" s="124">
        <f>U45/$M$42</f>
        <v>5.2250138045278852E-2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102</v>
      </c>
      <c r="U46" s="134">
        <v>67</v>
      </c>
      <c r="V46" s="135">
        <f t="shared" si="1"/>
        <v>0.52238805970149249</v>
      </c>
      <c r="W46" s="136">
        <f>T46/$L$42</f>
        <v>6.210801924130792E-3</v>
      </c>
      <c r="X46" s="136">
        <f>U46/$M$42</f>
        <v>4.6245168415240201E-3</v>
      </c>
    </row>
    <row r="47" spans="2:24">
      <c r="B47" s="26"/>
      <c r="C47" s="26"/>
      <c r="D47" s="26"/>
      <c r="E47" s="26"/>
      <c r="F47" s="26"/>
      <c r="G47" s="26"/>
      <c r="H47" s="26"/>
      <c r="R47" s="206" t="s">
        <v>18</v>
      </c>
      <c r="S47" s="206"/>
      <c r="T47" s="130">
        <f>T40+T35+T30+T25+T20+T15+T45+T10+T46</f>
        <v>16423</v>
      </c>
      <c r="U47" s="130">
        <f>U40+U35+U30+U25+U20+U15+U45+U10+U46</f>
        <v>14488</v>
      </c>
      <c r="V47" s="135">
        <f t="shared" si="1"/>
        <v>0.13355880728879077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  <row r="145" s="28" customFormat="1"/>
    <row r="146" s="28" customFormat="1"/>
    <row r="147" s="28" customFormat="1"/>
    <row r="148" s="28" customFormat="1"/>
    <row r="149" s="28" customFormat="1"/>
    <row r="150" s="28" customFormat="1"/>
    <row r="151" s="28" customFormat="1"/>
    <row r="152" s="28" customFormat="1"/>
    <row r="153" s="28" customFormat="1"/>
    <row r="154" s="28" customFormat="1"/>
    <row r="155" s="28" customFormat="1"/>
    <row r="156" s="28" customFormat="1"/>
    <row r="157" s="28" customFormat="1"/>
    <row r="158" s="28" customFormat="1"/>
    <row r="159" s="28" customFormat="1"/>
    <row r="160" s="28" customFormat="1"/>
    <row r="161" s="28" customFormat="1"/>
    <row r="162" s="28" customFormat="1"/>
    <row r="163" s="28" customFormat="1"/>
    <row r="164" s="28" customFormat="1"/>
    <row r="165" s="28" customFormat="1"/>
    <row r="166" s="28" customFormat="1"/>
    <row r="167" s="28" customFormat="1"/>
    <row r="168" s="28" customFormat="1"/>
    <row r="169" s="28" customFormat="1"/>
    <row r="170" s="28" customFormat="1"/>
    <row r="171" s="28" customFormat="1"/>
    <row r="172" s="28" customFormat="1"/>
    <row r="173" s="28" customFormat="1"/>
    <row r="174" s="28" customFormat="1"/>
    <row r="175" s="28" customFormat="1"/>
    <row r="176" s="28" customFormat="1"/>
    <row r="177" s="28" customFormat="1"/>
    <row r="178" s="28" customFormat="1"/>
    <row r="179" s="28" customFormat="1"/>
    <row r="180" s="28" customFormat="1"/>
    <row r="181" s="28" customFormat="1"/>
    <row r="182" s="28" customFormat="1"/>
    <row r="183" s="28" customFormat="1"/>
    <row r="184" s="28" customFormat="1"/>
    <row r="185" s="28" customFormat="1"/>
    <row r="186" s="28" customFormat="1"/>
    <row r="187" s="28" customFormat="1"/>
    <row r="188" s="28" customFormat="1"/>
    <row r="189" s="28" customFormat="1"/>
    <row r="190" s="28" customFormat="1"/>
    <row r="191" s="28" customFormat="1"/>
    <row r="192" s="28" customFormat="1"/>
    <row r="193" s="28" customFormat="1"/>
    <row r="194" s="28" customFormat="1"/>
    <row r="195" s="28" customFormat="1"/>
    <row r="196" s="28" customFormat="1"/>
    <row r="197" s="28" customFormat="1"/>
    <row r="198" s="28" customFormat="1"/>
    <row r="199" s="28" customFormat="1"/>
    <row r="200" s="28" customFormat="1"/>
    <row r="201" s="28" customFormat="1"/>
    <row r="202" s="28" customFormat="1"/>
    <row r="203" s="28" customFormat="1"/>
    <row r="204" s="28" customFormat="1"/>
    <row r="205" s="28" customFormat="1"/>
    <row r="206" s="28" customFormat="1"/>
    <row r="207" s="28" customFormat="1"/>
    <row r="208" s="28" customFormat="1"/>
    <row r="209" s="28" customFormat="1"/>
    <row r="210" s="28" customFormat="1"/>
    <row r="211" s="28" customFormat="1"/>
    <row r="212" s="28" customFormat="1"/>
    <row r="213" s="28" customFormat="1"/>
    <row r="214" s="28" customFormat="1"/>
    <row r="215" s="28" customFormat="1"/>
    <row r="216" s="28" customFormat="1"/>
    <row r="217" s="28" customFormat="1"/>
    <row r="218" s="28" customFormat="1"/>
    <row r="219" s="28" customFormat="1"/>
    <row r="220" s="28" customFormat="1"/>
    <row r="221" s="28" customFormat="1"/>
    <row r="222" s="28" customFormat="1"/>
    <row r="223" s="28" customFormat="1"/>
    <row r="224" s="28" customFormat="1"/>
    <row r="225" s="28" customFormat="1"/>
    <row r="226" s="28" customFormat="1"/>
    <row r="227" s="28" customFormat="1"/>
    <row r="228" s="28" customFormat="1"/>
    <row r="229" s="28" customFormat="1"/>
    <row r="230" s="28" customFormat="1"/>
    <row r="231" s="28" customFormat="1"/>
    <row r="232" s="28" customFormat="1"/>
    <row r="233" s="28" customFormat="1"/>
    <row r="234" s="28" customFormat="1"/>
    <row r="235" s="28" customFormat="1"/>
    <row r="236" s="28" customFormat="1"/>
    <row r="237" s="28" customFormat="1"/>
    <row r="238" s="28" customFormat="1"/>
    <row r="239" s="28" customFormat="1"/>
    <row r="240" s="28" customFormat="1"/>
    <row r="241" s="28" customFormat="1"/>
    <row r="242" s="28" customFormat="1"/>
    <row r="243" s="28" customFormat="1"/>
    <row r="244" s="28" customFormat="1"/>
    <row r="245" s="28" customFormat="1"/>
    <row r="246" s="28" customFormat="1"/>
    <row r="247" s="28" customFormat="1"/>
    <row r="248" s="28" customFormat="1"/>
    <row r="249" s="28" customFormat="1"/>
    <row r="250" s="28" customFormat="1"/>
    <row r="251" s="28" customFormat="1"/>
    <row r="252" s="28" customFormat="1"/>
    <row r="253" s="28" customFormat="1"/>
    <row r="254" s="28" customFormat="1"/>
    <row r="255" s="28" customFormat="1"/>
    <row r="256" s="28" customFormat="1"/>
    <row r="257" s="28" customFormat="1"/>
    <row r="258" s="28" customFormat="1"/>
    <row r="259" s="28" customFormat="1"/>
    <row r="260" s="28" customFormat="1"/>
    <row r="261" s="28" customFormat="1"/>
    <row r="262" s="28" customFormat="1"/>
    <row r="263" s="28" customFormat="1"/>
    <row r="264" s="28" customFormat="1"/>
    <row r="265" s="28" customFormat="1"/>
    <row r="266" s="28" customFormat="1"/>
    <row r="267" s="28" customFormat="1"/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N6:N35 N40:N42">
    <cfRule type="cellIs" dxfId="8" priority="8" stopIfTrue="1" operator="lessThan">
      <formula>0</formula>
    </cfRule>
  </conditionalFormatting>
  <conditionalFormatting sqref="V7:V47">
    <cfRule type="cellIs" dxfId="7" priority="7" stopIfTrue="1" operator="lessThan">
      <formula>0</formula>
    </cfRule>
  </conditionalFormatting>
  <conditionalFormatting sqref="V6">
    <cfRule type="cellIs" dxfId="6" priority="5" stopIfTrue="1" operator="lessThan">
      <formula>0</formula>
    </cfRule>
  </conditionalFormatting>
  <conditionalFormatting sqref="N36:N39">
    <cfRule type="cellIs" dxfId="5" priority="2" stopIfTrue="1" operator="lessThan">
      <formula>0</formula>
    </cfRule>
  </conditionalFormatting>
  <conditionalFormatting sqref="H1:H1048576">
    <cfRule type="cellIs" dxfId="4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H10" sqref="H1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121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f t="shared" ref="O4:O9" si="0">SUM(C4:N4)</f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f t="shared" si="0"/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f t="shared" ref="O8" si="1">SUM(C8:N8)</f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/>
      <c r="J9" s="140"/>
      <c r="K9" s="140"/>
      <c r="L9" s="140"/>
      <c r="M9" s="140"/>
      <c r="N9" s="140"/>
      <c r="O9" s="140">
        <f t="shared" si="0"/>
        <v>5618</v>
      </c>
      <c r="P9" s="6"/>
    </row>
    <row r="10" spans="2:19">
      <c r="B10" s="83" t="s">
        <v>116</v>
      </c>
      <c r="C10" s="141">
        <f>+C9/C8-1</f>
        <v>0.23943661971830976</v>
      </c>
      <c r="D10" s="141">
        <f t="shared" ref="D10:H10" si="2">+D9/D8-1</f>
        <v>1.0080645161290258E-2</v>
      </c>
      <c r="E10" s="141">
        <f t="shared" si="2"/>
        <v>-0.12391930835734866</v>
      </c>
      <c r="F10" s="141">
        <f t="shared" si="2"/>
        <v>-7.6222038111019019E-2</v>
      </c>
      <c r="G10" s="141">
        <f t="shared" si="2"/>
        <v>-0.12117086453369641</v>
      </c>
      <c r="H10" s="141">
        <f>+H9/H8-1</f>
        <v>-0.10178453403833443</v>
      </c>
      <c r="I10" s="141"/>
      <c r="J10" s="141"/>
      <c r="K10" s="141"/>
      <c r="L10" s="141"/>
      <c r="M10" s="141"/>
      <c r="N10" s="141"/>
      <c r="O10" s="142">
        <f ca="1">+O9/G14-1</f>
        <v>-7.613879296168391E-2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tr">
        <f>'R_PTW 2023vs2022'!C9:D9</f>
        <v>CZERWIEC</v>
      </c>
      <c r="D12" s="211"/>
      <c r="E12" s="212" t="s">
        <v>5</v>
      </c>
      <c r="F12" s="213" t="str">
        <f>"ROK NARASTAJĄCO
STYCZEŃ-"&amp;C12</f>
        <v>ROK NARASTAJĄCO
STYCZEŃ-CZERWIEC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f ca="1">OFFSET(B9,,COUNTA(C9:N9),,)</f>
        <v>1359</v>
      </c>
      <c r="D14" s="91">
        <f ca="1">OFFSET(B8,,COUNTA(C9:N9),,)</f>
        <v>1513</v>
      </c>
      <c r="E14" s="92">
        <f ca="1">+C14/D14-1</f>
        <v>-0.10178453403833443</v>
      </c>
      <c r="F14" s="91">
        <f>+O9</f>
        <v>5618</v>
      </c>
      <c r="G14" s="90">
        <f ca="1">SUM(OFFSET(C8,,,,COUNTA(C9:N9)))</f>
        <v>6081</v>
      </c>
      <c r="H14" s="92">
        <f ca="1">+F14/G14-1</f>
        <v>-7.613879296168391E-2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f>+C45/#REF!</f>
        <v>#REF!</v>
      </c>
      <c r="D46" s="6" t="e">
        <f>+D45/#REF!</f>
        <v>#REF!</v>
      </c>
      <c r="E46" s="6" t="e">
        <f>+E45/#REF!</f>
        <v>#REF!</v>
      </c>
      <c r="F46" s="6" t="e">
        <f>+F45/#REF!</f>
        <v>#REF!</v>
      </c>
      <c r="G46" s="6" t="e">
        <f>+G45/#REF!</f>
        <v>#REF!</v>
      </c>
      <c r="H46" s="6" t="e">
        <f>+H45/#REF!</f>
        <v>#REF!</v>
      </c>
      <c r="I46" s="6" t="e">
        <f>+I45/#REF!</f>
        <v>#REF!</v>
      </c>
      <c r="J46" s="6" t="e">
        <f>+J45/#REF!</f>
        <v>#REF!</v>
      </c>
      <c r="K46" s="6" t="e">
        <f>+K45/#REF!</f>
        <v>#REF!</v>
      </c>
      <c r="L46" s="6" t="e">
        <f>+L45/#REF!</f>
        <v>#REF!</v>
      </c>
      <c r="M46" s="6" t="e">
        <f>+M45/#REF!</f>
        <v>#REF!</v>
      </c>
      <c r="N46" s="6" t="e">
        <f>+N45/#REF!</f>
        <v>#REF!</v>
      </c>
      <c r="O46" s="6" t="e">
        <f>+O45/#REF!</f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f>SUM(C47:N47)</f>
        <v>11267</v>
      </c>
    </row>
    <row r="48" spans="2:16" hidden="1">
      <c r="C48" s="6">
        <f>+C47/C9</f>
        <v>0.65454545454545454</v>
      </c>
      <c r="D48" s="6">
        <f t="shared" ref="D48:O48" si="3">+D47/D9</f>
        <v>2.2954091816367264</v>
      </c>
      <c r="E48" s="6">
        <f t="shared" si="3"/>
        <v>2.3377192982456139</v>
      </c>
      <c r="F48" s="6">
        <f t="shared" si="3"/>
        <v>1.5641255605381166</v>
      </c>
      <c r="G48" s="6">
        <f t="shared" si="3"/>
        <v>0.88226181254841207</v>
      </c>
      <c r="H48" s="6">
        <f t="shared" si="3"/>
        <v>1.2214863870493009</v>
      </c>
      <c r="I48" s="6" t="e">
        <f t="shared" si="3"/>
        <v>#DIV/0!</v>
      </c>
      <c r="J48" s="6" t="e">
        <f t="shared" si="3"/>
        <v>#DIV/0!</v>
      </c>
      <c r="K48" s="6" t="e">
        <f t="shared" si="3"/>
        <v>#DIV/0!</v>
      </c>
      <c r="L48" s="6" t="e">
        <f t="shared" si="3"/>
        <v>#DIV/0!</v>
      </c>
      <c r="M48" s="6" t="e">
        <f t="shared" si="3"/>
        <v>#DIV/0!</v>
      </c>
      <c r="N48" s="6" t="e">
        <f t="shared" si="3"/>
        <v>#DIV/0!</v>
      </c>
      <c r="O48" s="6">
        <f t="shared" si="3"/>
        <v>2.0055179779280885</v>
      </c>
      <c r="P48" s="16" t="e">
        <f>SUM(C45:M45)/S5</f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235"/>
  <sheetViews>
    <sheetView showGridLines="0" zoomScale="90" zoomScaleNormal="90" workbookViewId="0">
      <selection activeCell="D15" sqref="D15:H17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1" t="s">
        <v>122</v>
      </c>
      <c r="C2" s="201"/>
      <c r="D2" s="201"/>
      <c r="E2" s="201"/>
      <c r="F2" s="201"/>
      <c r="G2" s="201"/>
      <c r="H2" s="201"/>
      <c r="I2" s="216"/>
      <c r="J2" s="216"/>
      <c r="K2" s="216"/>
      <c r="L2" s="216"/>
    </row>
    <row r="3" spans="2:12" ht="24" customHeight="1">
      <c r="B3" s="202" t="s">
        <v>64</v>
      </c>
      <c r="C3" s="203" t="s">
        <v>67</v>
      </c>
      <c r="D3" s="203" t="str">
        <f>'R_MC 2023 rankingi'!D3:H3</f>
        <v>Styczeń - Czerwiec</v>
      </c>
      <c r="E3" s="203"/>
      <c r="F3" s="203"/>
      <c r="G3" s="203"/>
      <c r="H3" s="203"/>
      <c r="I3" s="22"/>
      <c r="J3" s="23"/>
      <c r="K3" s="23"/>
      <c r="L3" s="23"/>
    </row>
    <row r="4" spans="2:12">
      <c r="B4" s="202"/>
      <c r="C4" s="203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1347</v>
      </c>
      <c r="E5" s="100">
        <v>0.23976504093983625</v>
      </c>
      <c r="F5" s="99">
        <v>1408</v>
      </c>
      <c r="G5" s="100">
        <v>0.23154086498931098</v>
      </c>
      <c r="H5" s="145">
        <v>-4.3323863636363646E-2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729</v>
      </c>
      <c r="E6" s="105">
        <v>0.12976148095407619</v>
      </c>
      <c r="F6" s="104">
        <v>843</v>
      </c>
      <c r="G6" s="105">
        <v>0.1386285150468673</v>
      </c>
      <c r="H6" s="146">
        <v>-0.13523131672597866</v>
      </c>
      <c r="J6" s="24"/>
      <c r="K6" s="24"/>
      <c r="L6" s="24"/>
    </row>
    <row r="7" spans="2:12">
      <c r="B7" s="97">
        <v>3</v>
      </c>
      <c r="C7" s="98" t="s">
        <v>79</v>
      </c>
      <c r="D7" s="99">
        <v>631</v>
      </c>
      <c r="E7" s="100">
        <v>0.11231755072979709</v>
      </c>
      <c r="F7" s="99">
        <v>633</v>
      </c>
      <c r="G7" s="100">
        <v>0.10409472126295018</v>
      </c>
      <c r="H7" s="145">
        <v>-3.1595576619273258E-3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430</v>
      </c>
      <c r="E8" s="105">
        <v>7.6539693841224637E-2</v>
      </c>
      <c r="F8" s="104">
        <v>321</v>
      </c>
      <c r="G8" s="105">
        <v>5.2787370498273312E-2</v>
      </c>
      <c r="H8" s="146">
        <v>0.33956386292834884</v>
      </c>
      <c r="J8" s="24"/>
      <c r="K8" s="24"/>
      <c r="L8" s="24"/>
    </row>
    <row r="9" spans="2:12">
      <c r="B9" s="97">
        <v>5</v>
      </c>
      <c r="C9" s="98" t="s">
        <v>82</v>
      </c>
      <c r="D9" s="99">
        <v>355</v>
      </c>
      <c r="E9" s="100">
        <v>6.3189747241011035E-2</v>
      </c>
      <c r="F9" s="99">
        <v>360</v>
      </c>
      <c r="G9" s="100">
        <v>5.9200789343857918E-2</v>
      </c>
      <c r="H9" s="186">
        <v>-1.388888888888884E-2</v>
      </c>
      <c r="J9" s="24"/>
      <c r="K9" s="24"/>
      <c r="L9" s="24"/>
    </row>
    <row r="10" spans="2:12">
      <c r="B10" s="102">
        <v>6</v>
      </c>
      <c r="C10" s="103" t="s">
        <v>145</v>
      </c>
      <c r="D10" s="104">
        <v>291</v>
      </c>
      <c r="E10" s="105">
        <v>5.1797792808828763E-2</v>
      </c>
      <c r="F10" s="104">
        <v>228</v>
      </c>
      <c r="G10" s="105">
        <v>3.7493833251110012E-2</v>
      </c>
      <c r="H10" s="146">
        <v>0.27631578947368429</v>
      </c>
      <c r="J10" s="24"/>
      <c r="K10" s="24"/>
      <c r="L10" s="24"/>
    </row>
    <row r="11" spans="2:12">
      <c r="B11" s="97">
        <v>7</v>
      </c>
      <c r="C11" s="98" t="s">
        <v>144</v>
      </c>
      <c r="D11" s="99">
        <v>174</v>
      </c>
      <c r="E11" s="100">
        <v>3.097187611249555E-2</v>
      </c>
      <c r="F11" s="99">
        <v>191</v>
      </c>
      <c r="G11" s="100">
        <v>3.1409307679657952E-2</v>
      </c>
      <c r="H11" s="145">
        <v>-8.9005235602094279E-2</v>
      </c>
      <c r="J11" s="24"/>
      <c r="K11" s="24"/>
      <c r="L11" s="24"/>
    </row>
    <row r="12" spans="2:12">
      <c r="B12" s="102">
        <v>8</v>
      </c>
      <c r="C12" s="103" t="s">
        <v>143</v>
      </c>
      <c r="D12" s="104">
        <v>171</v>
      </c>
      <c r="E12" s="105">
        <v>3.0437878248487007E-2</v>
      </c>
      <c r="F12" s="104">
        <v>104</v>
      </c>
      <c r="G12" s="105">
        <v>1.7102450254892286E-2</v>
      </c>
      <c r="H12" s="146">
        <v>0.64423076923076916</v>
      </c>
      <c r="J12" s="24"/>
      <c r="K12" s="24"/>
      <c r="L12" s="24"/>
    </row>
    <row r="13" spans="2:12">
      <c r="B13" s="97">
        <v>9</v>
      </c>
      <c r="C13" s="98" t="s">
        <v>39</v>
      </c>
      <c r="D13" s="99">
        <v>167</v>
      </c>
      <c r="E13" s="100">
        <v>2.9725881096475615E-2</v>
      </c>
      <c r="F13" s="99">
        <v>186</v>
      </c>
      <c r="G13" s="100">
        <v>3.0587074494326592E-2</v>
      </c>
      <c r="H13" s="145">
        <v>-0.10215053763440862</v>
      </c>
      <c r="J13" s="24"/>
      <c r="K13" s="24"/>
      <c r="L13" s="24"/>
    </row>
    <row r="14" spans="2:12">
      <c r="B14" s="102">
        <v>10</v>
      </c>
      <c r="C14" s="103" t="s">
        <v>148</v>
      </c>
      <c r="D14" s="104">
        <v>134</v>
      </c>
      <c r="E14" s="105">
        <v>2.385190459238163E-2</v>
      </c>
      <c r="F14" s="104">
        <v>103</v>
      </c>
      <c r="G14" s="105">
        <v>1.6938003617826016E-2</v>
      </c>
      <c r="H14" s="146">
        <v>0.30097087378640786</v>
      </c>
      <c r="J14" s="24"/>
      <c r="K14" s="24"/>
      <c r="L14" s="24"/>
    </row>
    <row r="15" spans="2:12">
      <c r="B15" s="207" t="s">
        <v>42</v>
      </c>
      <c r="C15" s="207"/>
      <c r="D15" s="127">
        <f>SUM(D5:D14)</f>
        <v>4429</v>
      </c>
      <c r="E15" s="128">
        <f>SUM(E5:E14)</f>
        <v>0.78835884656461375</v>
      </c>
      <c r="F15" s="127">
        <f>SUM(F5:F14)</f>
        <v>4377</v>
      </c>
      <c r="G15" s="128">
        <f>SUM(G5:G14)</f>
        <v>0.71978293043907271</v>
      </c>
      <c r="H15" s="129">
        <f>+D15/F15-1</f>
        <v>1.188028329906321E-2</v>
      </c>
    </row>
    <row r="16" spans="2:12">
      <c r="B16" s="207" t="s">
        <v>43</v>
      </c>
      <c r="C16" s="207"/>
      <c r="D16" s="127">
        <f>+D17-D15</f>
        <v>1189</v>
      </c>
      <c r="E16" s="128">
        <f>+D16/D17</f>
        <v>0.21164115343538625</v>
      </c>
      <c r="F16" s="127">
        <f>+F17-F15</f>
        <v>1704</v>
      </c>
      <c r="G16" s="128">
        <f>+F16/F17</f>
        <v>0.28021706956092746</v>
      </c>
      <c r="H16" s="129">
        <f>+D16/F16-1</f>
        <v>-0.30223004694835676</v>
      </c>
      <c r="I16" s="32"/>
    </row>
    <row r="17" spans="2:8">
      <c r="B17" s="208" t="s">
        <v>18</v>
      </c>
      <c r="C17" s="208"/>
      <c r="D17" s="130">
        <v>5618</v>
      </c>
      <c r="E17" s="131">
        <v>1.0000000000000004</v>
      </c>
      <c r="F17" s="130">
        <v>6081</v>
      </c>
      <c r="G17" s="131">
        <v>1.0000000000000004</v>
      </c>
      <c r="H17" s="185">
        <v>-7.613879296168391E-2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="21" customFormat="1"/>
    <row r="162" s="21" customFormat="1"/>
    <row r="163" s="21" customFormat="1"/>
    <row r="164" s="21" customFormat="1"/>
    <row r="165" s="21" customFormat="1"/>
    <row r="166" s="21" customFormat="1"/>
    <row r="167" s="21" customFormat="1"/>
    <row r="168" s="21" customFormat="1"/>
    <row r="169" s="21" customFormat="1"/>
    <row r="170" s="21" customFormat="1"/>
    <row r="171" s="21" customFormat="1"/>
    <row r="172" s="21" customFormat="1"/>
    <row r="173" s="21" customFormat="1"/>
    <row r="174" s="21" customFormat="1"/>
    <row r="175" s="21" customFormat="1"/>
    <row r="176" s="21" customFormat="1"/>
    <row r="177" s="21" customFormat="1"/>
    <row r="178" s="21" customFormat="1"/>
    <row r="179" s="21" customFormat="1"/>
    <row r="180" s="21" customFormat="1"/>
    <row r="181" s="21" customFormat="1"/>
    <row r="182" s="21" customFormat="1"/>
    <row r="183" s="21" customFormat="1"/>
    <row r="184" s="21" customFormat="1"/>
    <row r="185" s="21" customFormat="1"/>
    <row r="186" s="21" customFormat="1"/>
    <row r="187" s="21" customFormat="1"/>
    <row r="188" s="21" customFormat="1"/>
    <row r="189" s="21" customFormat="1"/>
    <row r="190" s="21" customFormat="1"/>
    <row r="191" s="21" customFormat="1"/>
    <row r="192" s="21" customFormat="1"/>
    <row r="193" s="21" customFormat="1"/>
    <row r="194" s="21" customFormat="1"/>
    <row r="195" s="21" customFormat="1"/>
    <row r="196" s="21" customFormat="1"/>
    <row r="197" s="21" customFormat="1"/>
    <row r="198" s="21" customFormat="1"/>
    <row r="199" s="21" customFormat="1"/>
    <row r="200" s="21" customFormat="1"/>
    <row r="201" s="21" customFormat="1"/>
    <row r="202" s="21" customFormat="1"/>
    <row r="203" s="21" customFormat="1"/>
    <row r="204" s="21" customFormat="1"/>
    <row r="205" s="21" customFormat="1"/>
    <row r="206" s="21" customFormat="1"/>
    <row r="207" s="21" customFormat="1"/>
    <row r="208" s="21" customFormat="1"/>
    <row r="209" s="21" customFormat="1"/>
    <row r="210" s="21" customFormat="1"/>
    <row r="211" s="21" customFormat="1"/>
    <row r="212" s="21" customFormat="1"/>
    <row r="213" s="21" customFormat="1"/>
    <row r="214" s="21" customFormat="1"/>
    <row r="215" s="21" customFormat="1"/>
    <row r="216" s="21" customFormat="1"/>
    <row r="217" s="21" customFormat="1"/>
    <row r="218" s="21" customFormat="1"/>
    <row r="219" s="21" customFormat="1"/>
    <row r="220" s="21" customFormat="1"/>
    <row r="221" s="21" customFormat="1"/>
    <row r="222" s="21" customFormat="1"/>
    <row r="223" s="21" customFormat="1"/>
    <row r="224" s="21" customFormat="1"/>
    <row r="225" s="21" customFormat="1"/>
    <row r="226" s="21" customFormat="1"/>
    <row r="227" s="21" customFormat="1"/>
    <row r="228" s="21" customFormat="1"/>
    <row r="229" s="21" customFormat="1"/>
    <row r="230" s="21" customFormat="1"/>
    <row r="231" s="21" customFormat="1"/>
    <row r="232" s="21" customFormat="1"/>
    <row r="233" s="21" customFormat="1"/>
    <row r="234" s="21" customFormat="1"/>
    <row r="235" s="21" customFormat="1"/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E5:E14 G5:G14">
    <cfRule type="cellIs" dxfId="3" priority="5" operator="equal">
      <formula>0</formula>
    </cfRule>
  </conditionalFormatting>
  <conditionalFormatting sqref="D5:D14">
    <cfRule type="cellIs" dxfId="2" priority="4" operator="equal">
      <formula>0</formula>
    </cfRule>
  </conditionalFormatting>
  <conditionalFormatting sqref="F5:F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topLeftCell="D1" zoomScale="90" zoomScaleNormal="90" workbookViewId="0">
      <selection activeCell="H3" sqref="H3:H7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123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/>
      <c r="J3" s="81"/>
      <c r="K3" s="81"/>
      <c r="L3" s="81"/>
      <c r="M3" s="81"/>
      <c r="N3" s="81"/>
      <c r="O3" s="81">
        <f>SUM(C3:N3)</f>
        <v>36576</v>
      </c>
      <c r="P3" s="6">
        <f>O3/O5</f>
        <v>0.84521883810140042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/>
      <c r="J4" s="81"/>
      <c r="K4" s="81"/>
      <c r="L4" s="81"/>
      <c r="M4" s="81"/>
      <c r="N4" s="81"/>
      <c r="O4" s="81">
        <f>SUM(C4:N4)</f>
        <v>6698</v>
      </c>
      <c r="P4" s="6">
        <f>O4/O5</f>
        <v>0.15478116189859961</v>
      </c>
    </row>
    <row r="5" spans="2:35">
      <c r="B5" s="151" t="s">
        <v>110</v>
      </c>
      <c r="C5" s="140">
        <f>SUM(C3:C4)</f>
        <v>4026</v>
      </c>
      <c r="D5" s="140">
        <f>SUM(D3:D4)</f>
        <v>4628</v>
      </c>
      <c r="E5" s="140">
        <f>SUM(E3:E4)</f>
        <v>7765</v>
      </c>
      <c r="F5" s="140">
        <f>SUM(F3:F4)</f>
        <v>8450</v>
      </c>
      <c r="G5" s="140">
        <f>SUM(G3:G4)</f>
        <v>9428</v>
      </c>
      <c r="H5" s="140">
        <f>SUM(H3:H4)</f>
        <v>8977</v>
      </c>
      <c r="I5" s="140"/>
      <c r="J5" s="140"/>
      <c r="K5" s="140"/>
      <c r="L5" s="140"/>
      <c r="M5" s="140"/>
      <c r="N5" s="140"/>
      <c r="O5" s="140">
        <f>SUM(C5:N5)</f>
        <v>43274</v>
      </c>
      <c r="P5" s="6">
        <v>1</v>
      </c>
    </row>
    <row r="6" spans="2:35" ht="15.75" customHeight="1">
      <c r="B6" s="152" t="s">
        <v>111</v>
      </c>
      <c r="C6" s="153">
        <f>C5/N46-1</f>
        <v>0.33754152823920269</v>
      </c>
      <c r="D6" s="153">
        <f>D5/C5-1</f>
        <v>0.14952806756085435</v>
      </c>
      <c r="E6" s="153">
        <f>E5/D5-1</f>
        <v>0.67783059636992227</v>
      </c>
      <c r="F6" s="153">
        <f>F5/E5-1</f>
        <v>8.8216355441081751E-2</v>
      </c>
      <c r="G6" s="153">
        <f>G5/F5-1</f>
        <v>0.11573964497041422</v>
      </c>
      <c r="H6" s="153">
        <f>H5/G5-1</f>
        <v>-4.7836232498939313E-2</v>
      </c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112</v>
      </c>
      <c r="C7" s="155">
        <f>C5/C46-1</f>
        <v>0.20322773460848764</v>
      </c>
      <c r="D7" s="155">
        <f>D5/D46-1</f>
        <v>4.0000000000000036E-2</v>
      </c>
      <c r="E7" s="155">
        <f>E5/E46-1</f>
        <v>-1.6466117796073432E-2</v>
      </c>
      <c r="F7" s="155">
        <f>F5/F46-1</f>
        <v>6.1157855079743806E-2</v>
      </c>
      <c r="G7" s="155">
        <f>G5/G46-1</f>
        <v>7.2094609961337319E-2</v>
      </c>
      <c r="H7" s="155">
        <f>H5/H46-1</f>
        <v>5.6117647058823605E-2</v>
      </c>
      <c r="I7" s="155"/>
      <c r="J7" s="155"/>
      <c r="K7" s="155"/>
      <c r="L7" s="155"/>
      <c r="M7" s="155"/>
      <c r="N7" s="155"/>
      <c r="O7" s="155">
        <f ca="1">+O5/G13-1</f>
        <v>5.6803751098954747E-2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tr">
        <f>'R_PTW 2023vs2022'!C9:D9</f>
        <v>CZERWIEC</v>
      </c>
      <c r="D9" s="211"/>
      <c r="E9" s="212" t="s">
        <v>5</v>
      </c>
      <c r="F9" s="213" t="str">
        <f>"ROK NARASTAJĄCO
STYCZEŃ-"&amp;C9</f>
        <v>ROK NARASTAJĄCO
STYCZEŃ-CZERWIEC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f ca="1">OFFSET(B3,,COUNTA(C3:N3),,)</f>
        <v>7563</v>
      </c>
      <c r="D11" s="156">
        <f ca="1">OFFSET(B44,,COUNTA(C3:N3),,)</f>
        <v>7071</v>
      </c>
      <c r="E11" s="157">
        <f ca="1">+C11/D11-1</f>
        <v>6.9579974543911849E-2</v>
      </c>
      <c r="F11" s="156">
        <f>O3</f>
        <v>36576</v>
      </c>
      <c r="G11" s="143">
        <f ca="1">SUM(OFFSET(C44,,,,COUNTA(C3:N3)))</f>
        <v>34665</v>
      </c>
      <c r="H11" s="157">
        <f ca="1">+F11/G11-1</f>
        <v>5.5127650367806202E-2</v>
      </c>
      <c r="I11" s="2"/>
      <c r="O11" s="9"/>
      <c r="AI11" s="6"/>
    </row>
    <row r="12" spans="2:35" ht="20.25" customHeight="1">
      <c r="B12" s="143" t="s">
        <v>21</v>
      </c>
      <c r="C12" s="156">
        <f ca="1">OFFSET(B4,,COUNTA(C4:N4),,)</f>
        <v>1414</v>
      </c>
      <c r="D12" s="156">
        <f ca="1">OFFSET(B45,,COUNTA(C4:N4),,)</f>
        <v>1429</v>
      </c>
      <c r="E12" s="157">
        <f ca="1">+C12/D12-1</f>
        <v>-1.049685094471664E-2</v>
      </c>
      <c r="F12" s="156">
        <f>O4</f>
        <v>6698</v>
      </c>
      <c r="G12" s="143">
        <f ca="1">SUM(OFFSET(C45,,,,COUNTA(C4:N4)))</f>
        <v>6283</v>
      </c>
      <c r="H12" s="157">
        <f ca="1">+F12/G12-1</f>
        <v>6.6051249403151324E-2</v>
      </c>
      <c r="O12" s="9"/>
      <c r="R12" s="12"/>
      <c r="AI12" s="6"/>
    </row>
    <row r="13" spans="2:35" ht="20.25" customHeight="1">
      <c r="B13" s="158" t="s">
        <v>18</v>
      </c>
      <c r="C13" s="158">
        <f ca="1">SUM(C11:C12)</f>
        <v>8977</v>
      </c>
      <c r="D13" s="158">
        <f ca="1">SUM(D11:D12)</f>
        <v>8500</v>
      </c>
      <c r="E13" s="159">
        <f ca="1">+C13/D13-1</f>
        <v>5.6117647058823605E-2</v>
      </c>
      <c r="F13" s="158">
        <f>SUM(F11:F12)</f>
        <v>43274</v>
      </c>
      <c r="G13" s="158">
        <f ca="1">SUM(G11:G12)</f>
        <v>40948</v>
      </c>
      <c r="H13" s="159">
        <f ca="1">+F13/G13-1</f>
        <v>5.6803751098954747E-2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150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151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f>SUM(C44:N44)</f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f>SUM(C45:N45)</f>
        <v>12022</v>
      </c>
    </row>
    <row r="46" spans="2:15">
      <c r="B46" s="151" t="s">
        <v>90</v>
      </c>
      <c r="C46" s="140">
        <f>SUM(C44:C45)</f>
        <v>3346</v>
      </c>
      <c r="D46" s="140">
        <f>SUM(D44:D45)</f>
        <v>4450</v>
      </c>
      <c r="E46" s="140">
        <f>SUM(E44:E45)</f>
        <v>7895</v>
      </c>
      <c r="F46" s="140">
        <f>SUM(F44:F45)</f>
        <v>7963</v>
      </c>
      <c r="G46" s="140">
        <f t="shared" ref="G46:N46" si="0">SUM(G44:G45)</f>
        <v>8794</v>
      </c>
      <c r="H46" s="140">
        <f t="shared" si="0"/>
        <v>8500</v>
      </c>
      <c r="I46" s="140">
        <f t="shared" si="0"/>
        <v>7938</v>
      </c>
      <c r="J46" s="140">
        <f t="shared" si="0"/>
        <v>6742</v>
      </c>
      <c r="K46" s="140">
        <f t="shared" si="0"/>
        <v>5223</v>
      </c>
      <c r="L46" s="140">
        <f t="shared" si="0"/>
        <v>4186</v>
      </c>
      <c r="M46" s="140">
        <f t="shared" si="0"/>
        <v>3848</v>
      </c>
      <c r="N46" s="140">
        <f t="shared" si="0"/>
        <v>3010</v>
      </c>
      <c r="O46" s="140">
        <f>SUM(C46:N46)</f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topLeftCell="A16" zoomScale="90" zoomScaleNormal="90" workbookViewId="0">
      <selection activeCell="H25" sqref="H25:H31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8" t="s">
        <v>4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76"/>
      <c r="S5" s="12"/>
    </row>
    <row r="6" spans="2:19" ht="13.5" customHeight="1">
      <c r="B6" s="162" t="s">
        <v>93</v>
      </c>
      <c r="C6" s="162">
        <f>'R_PTW NEW 2023vs2022'!C44</f>
        <v>856</v>
      </c>
      <c r="D6" s="162">
        <f>'R_PTW NEW 2023vs2022'!D44</f>
        <v>1276</v>
      </c>
      <c r="E6" s="162">
        <f>'R_PTW NEW 2023vs2022'!E44</f>
        <v>2828</v>
      </c>
      <c r="F6" s="162">
        <f>'R_PTW NEW 2023vs2022'!F44</f>
        <v>2875</v>
      </c>
      <c r="G6" s="162">
        <f>'R_PTW NEW 2023vs2022'!G44</f>
        <v>3412</v>
      </c>
      <c r="H6" s="162">
        <f>'R_PTW NEW 2023vs2022'!H44</f>
        <v>3241</v>
      </c>
      <c r="I6" s="162">
        <f>'R_PTW NEW 2023vs2022'!I44</f>
        <v>2715</v>
      </c>
      <c r="J6" s="162">
        <f>'R_PTW NEW 2023vs2022'!J44</f>
        <v>2326</v>
      </c>
      <c r="K6" s="162">
        <f>'R_PTW NEW 2023vs2022'!K44</f>
        <v>1469</v>
      </c>
      <c r="L6" s="162">
        <f>'R_PTW NEW 2023vs2022'!L44</f>
        <v>1176</v>
      </c>
      <c r="M6" s="162">
        <f>'R_PTW NEW 2023vs2022'!M44</f>
        <v>936</v>
      </c>
      <c r="N6" s="162">
        <f>'R_PTW NEW 2023vs2022'!N44</f>
        <v>800</v>
      </c>
      <c r="O6" s="162">
        <f>SUM(C6:N6)</f>
        <v>23910</v>
      </c>
      <c r="P6" s="76"/>
      <c r="S6" s="12"/>
    </row>
    <row r="7" spans="2:19" ht="13.5" customHeight="1">
      <c r="B7" s="162" t="s">
        <v>94</v>
      </c>
      <c r="C7" s="162">
        <f>'R_PTW USED 2023vs2022'!C44</f>
        <v>2855</v>
      </c>
      <c r="D7" s="162">
        <f>'R_PTW USED 2023vs2022'!D44</f>
        <v>3810</v>
      </c>
      <c r="E7" s="162">
        <f>'R_PTW USED 2023vs2022'!E44</f>
        <v>6696</v>
      </c>
      <c r="F7" s="162">
        <f>'R_PTW USED 2023vs2022'!F44</f>
        <v>6795</v>
      </c>
      <c r="G7" s="162">
        <f>'R_PTW USED 2023vs2022'!G44</f>
        <v>7438</v>
      </c>
      <c r="H7" s="162">
        <f>'R_PTW USED 2023vs2022'!H44</f>
        <v>7071</v>
      </c>
      <c r="I7" s="162">
        <f>'R_PTW USED 2023vs2022'!I44</f>
        <v>6571</v>
      </c>
      <c r="J7" s="162">
        <f>'R_PTW USED 2023vs2022'!J44</f>
        <v>5398</v>
      </c>
      <c r="K7" s="162">
        <f>'R_PTW USED 2023vs2022'!K44</f>
        <v>4265</v>
      </c>
      <c r="L7" s="162">
        <f>'R_PTW USED 2023vs2022'!L44</f>
        <v>3421</v>
      </c>
      <c r="M7" s="162">
        <f>'R_PTW USED 2023vs2022'!M44</f>
        <v>3097</v>
      </c>
      <c r="N7" s="162">
        <f>'R_PTW USED 2023vs2022'!N44</f>
        <v>2456</v>
      </c>
      <c r="O7" s="162">
        <f>SUM(C7:N7)</f>
        <v>59873</v>
      </c>
      <c r="P7" s="76"/>
      <c r="S7" s="12"/>
    </row>
    <row r="8" spans="2:19" ht="13.5" customHeight="1">
      <c r="B8" s="163" t="s">
        <v>95</v>
      </c>
      <c r="C8" s="163">
        <f>C6+C7</f>
        <v>3711</v>
      </c>
      <c r="D8" s="163">
        <f t="shared" ref="D8:N8" si="0">D6+D7</f>
        <v>5086</v>
      </c>
      <c r="E8" s="163">
        <f t="shared" si="0"/>
        <v>9524</v>
      </c>
      <c r="F8" s="163">
        <f t="shared" si="0"/>
        <v>9670</v>
      </c>
      <c r="G8" s="163">
        <f t="shared" si="0"/>
        <v>10850</v>
      </c>
      <c r="H8" s="163">
        <f t="shared" si="0"/>
        <v>10312</v>
      </c>
      <c r="I8" s="163">
        <f t="shared" si="0"/>
        <v>9286</v>
      </c>
      <c r="J8" s="163">
        <f t="shared" si="0"/>
        <v>7724</v>
      </c>
      <c r="K8" s="163">
        <f t="shared" si="0"/>
        <v>5734</v>
      </c>
      <c r="L8" s="163">
        <f t="shared" si="0"/>
        <v>4597</v>
      </c>
      <c r="M8" s="163">
        <f t="shared" si="0"/>
        <v>4033</v>
      </c>
      <c r="N8" s="163">
        <f t="shared" si="0"/>
        <v>3256</v>
      </c>
      <c r="O8" s="163">
        <f>SUM(C8:N8)</f>
        <v>83783</v>
      </c>
      <c r="P8" s="76"/>
      <c r="S8" s="12"/>
    </row>
    <row r="9" spans="2:19" ht="13.5" customHeight="1">
      <c r="B9" s="161" t="s">
        <v>128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76"/>
      <c r="S9" s="12"/>
    </row>
    <row r="10" spans="2:19">
      <c r="B10" s="164" t="s">
        <v>127</v>
      </c>
      <c r="C10" s="164">
        <f>'R_PTW NEW 2023vs2022'!C3</f>
        <v>1126</v>
      </c>
      <c r="D10" s="164">
        <f>'R_PTW NEW 2023vs2022'!D3</f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/>
      <c r="J10" s="164"/>
      <c r="K10" s="164"/>
      <c r="L10" s="164"/>
      <c r="M10" s="164"/>
      <c r="N10" s="164"/>
      <c r="O10" s="164">
        <f>SUM(C10:N10)</f>
        <v>16423</v>
      </c>
      <c r="P10" s="76"/>
      <c r="S10" s="12"/>
    </row>
    <row r="11" spans="2:19" s="12" customFormat="1">
      <c r="B11" s="162" t="s">
        <v>126</v>
      </c>
      <c r="C11" s="162">
        <f>'R_PTW USED 2023vs2022'!C3</f>
        <v>3346</v>
      </c>
      <c r="D11" s="162">
        <f>'R_PTW USED 2023vs2022'!D3</f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/>
      <c r="J11" s="162"/>
      <c r="K11" s="162"/>
      <c r="L11" s="162"/>
      <c r="M11" s="162"/>
      <c r="N11" s="162"/>
      <c r="O11" s="162">
        <f>SUM(C11:N11)</f>
        <v>36576</v>
      </c>
      <c r="P11" s="79"/>
    </row>
    <row r="12" spans="2:19">
      <c r="B12" s="163" t="s">
        <v>125</v>
      </c>
      <c r="C12" s="163">
        <f>C10+C11</f>
        <v>4472</v>
      </c>
      <c r="D12" s="163">
        <f>D10+D11</f>
        <v>5377</v>
      </c>
      <c r="E12" s="163">
        <f>E10+E11</f>
        <v>9748</v>
      </c>
      <c r="F12" s="163">
        <f>F10+F11</f>
        <v>10812</v>
      </c>
      <c r="G12" s="163">
        <f>G10+G11</f>
        <v>11585</v>
      </c>
      <c r="H12" s="163">
        <f>H10+H11</f>
        <v>11005</v>
      </c>
      <c r="I12" s="163"/>
      <c r="J12" s="163"/>
      <c r="K12" s="163"/>
      <c r="L12" s="163"/>
      <c r="M12" s="163"/>
      <c r="N12" s="163"/>
      <c r="O12" s="163">
        <f>SUM(C12:N12)</f>
        <v>52999</v>
      </c>
      <c r="P12" s="6"/>
      <c r="S12" s="12"/>
    </row>
    <row r="13" spans="2:19" ht="13.5" customHeight="1">
      <c r="B13" s="164" t="s">
        <v>32</v>
      </c>
      <c r="C13" s="165">
        <f>+C12/C8-1</f>
        <v>0.20506601994071683</v>
      </c>
      <c r="D13" s="165">
        <f>+D12/D8-1</f>
        <v>5.721588674793554E-2</v>
      </c>
      <c r="E13" s="165">
        <f>+E12/E8-1</f>
        <v>2.351952960940773E-2</v>
      </c>
      <c r="F13" s="165">
        <f>+F12/F8-1</f>
        <v>0.11809720785935873</v>
      </c>
      <c r="G13" s="165">
        <f>+G12/G8-1</f>
        <v>6.7741935483870863E-2</v>
      </c>
      <c r="H13" s="165">
        <f>+H12/H8-1</f>
        <v>6.7203258339798344E-2</v>
      </c>
      <c r="I13" s="165"/>
      <c r="J13" s="165"/>
      <c r="K13" s="165"/>
      <c r="L13" s="165"/>
      <c r="M13" s="165"/>
      <c r="N13" s="165"/>
      <c r="O13" s="165">
        <f ca="1">+O12/SUM(OFFSET(C8,,,,COUNTA(C10:N10)))-1</f>
        <v>7.8245478404166624E-2</v>
      </c>
      <c r="P13" s="76"/>
      <c r="S13" s="12"/>
    </row>
    <row r="14" spans="2:19">
      <c r="B14" s="164" t="s">
        <v>31</v>
      </c>
      <c r="C14" s="165">
        <f t="shared" ref="C14:D15" si="1">+C10/C6-1</f>
        <v>0.31542056074766345</v>
      </c>
      <c r="D14" s="165">
        <f t="shared" si="1"/>
        <v>0.19435736677115978</v>
      </c>
      <c r="E14" s="165">
        <f t="shared" ref="E14:F14" si="2">+E10/E6-1</f>
        <v>0.10820367751060811</v>
      </c>
      <c r="F14" s="165">
        <f t="shared" si="2"/>
        <v>0.24417391304347835</v>
      </c>
      <c r="G14" s="165">
        <f t="shared" ref="G14:H14" si="3">+G10/G6-1</f>
        <v>6.0961313012895646E-2</v>
      </c>
      <c r="H14" s="165">
        <f t="shared" si="3"/>
        <v>6.201789571120031E-2</v>
      </c>
      <c r="I14" s="165"/>
      <c r="J14" s="165"/>
      <c r="K14" s="165"/>
      <c r="L14" s="165"/>
      <c r="M14" s="165"/>
      <c r="N14" s="165"/>
      <c r="O14" s="165">
        <f ca="1">+O10/SUM(OFFSET(C6,,,,COUNTA(C10:N10)))-1</f>
        <v>0.13355880728879077</v>
      </c>
      <c r="P14" s="76"/>
      <c r="S14" s="12"/>
    </row>
    <row r="15" spans="2:19" s="12" customFormat="1">
      <c r="B15" s="164" t="s">
        <v>34</v>
      </c>
      <c r="C15" s="165">
        <f t="shared" si="1"/>
        <v>0.1719789842381787</v>
      </c>
      <c r="D15" s="165">
        <f t="shared" si="1"/>
        <v>1.128608923884511E-2</v>
      </c>
      <c r="E15" s="165">
        <f t="shared" ref="E15:F15" si="4">+E11/E7-1</f>
        <v>-1.2246117084826813E-2</v>
      </c>
      <c r="F15" s="165">
        <f t="shared" si="4"/>
        <v>6.4753495217071411E-2</v>
      </c>
      <c r="G15" s="165">
        <f t="shared" ref="G15:H15" si="5">+G11/G7-1</f>
        <v>7.0852379671954901E-2</v>
      </c>
      <c r="H15" s="165">
        <f t="shared" si="5"/>
        <v>6.9579974543911849E-2</v>
      </c>
      <c r="I15" s="165"/>
      <c r="J15" s="165"/>
      <c r="K15" s="165"/>
      <c r="L15" s="165"/>
      <c r="M15" s="165"/>
      <c r="N15" s="165"/>
      <c r="O15" s="165">
        <f ca="1">+O11/SUM(OFFSET(C7,,,,COUNTA(C10:N10)))-1</f>
        <v>5.5127650367806202E-2</v>
      </c>
      <c r="P15" s="79"/>
    </row>
    <row r="16" spans="2:19">
      <c r="B16" s="164" t="s">
        <v>25</v>
      </c>
      <c r="C16" s="165">
        <f>+C10/C12</f>
        <v>0.25178890876565296</v>
      </c>
      <c r="D16" s="165">
        <f>+D10/D12</f>
        <v>0.2834294216105635</v>
      </c>
      <c r="E16" s="165">
        <f>+E10/E12</f>
        <v>0.32150184653262209</v>
      </c>
      <c r="F16" s="165">
        <f>+F10/F12</f>
        <v>0.33083610802811692</v>
      </c>
      <c r="G16" s="165">
        <f>+G10/G12</f>
        <v>0.312473025463962</v>
      </c>
      <c r="H16" s="165">
        <f>+H10/H12</f>
        <v>0.31276692412539753</v>
      </c>
      <c r="I16" s="165"/>
      <c r="J16" s="165"/>
      <c r="K16" s="165"/>
      <c r="L16" s="165"/>
      <c r="M16" s="165"/>
      <c r="N16" s="165"/>
      <c r="O16" s="165">
        <f>+O10/O12</f>
        <v>0.30987377120323023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8" t="s">
        <v>3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76"/>
      <c r="S20" s="12"/>
    </row>
    <row r="21" spans="2:19">
      <c r="B21" s="162" t="s">
        <v>96</v>
      </c>
      <c r="C21" s="184">
        <f>'R_PTW NEW 2023vs2022'!C45</f>
        <v>355</v>
      </c>
      <c r="D21" s="184">
        <f>'R_PTW NEW 2023vs2022'!D45</f>
        <v>496</v>
      </c>
      <c r="E21" s="184">
        <f>'R_PTW NEW 2023vs2022'!E45</f>
        <v>1041</v>
      </c>
      <c r="F21" s="184">
        <f>'R_PTW NEW 2023vs2022'!F45</f>
        <v>1207</v>
      </c>
      <c r="G21" s="184">
        <f>'R_PTW NEW 2023vs2022'!G45</f>
        <v>1469</v>
      </c>
      <c r="H21" s="184">
        <f>'R_PTW NEW 2023vs2022'!H45</f>
        <v>1513</v>
      </c>
      <c r="I21" s="184">
        <f>'R_PTW NEW 2023vs2022'!I45</f>
        <v>1390</v>
      </c>
      <c r="J21" s="184">
        <f>'R_PTW NEW 2023vs2022'!J45</f>
        <v>1276</v>
      </c>
      <c r="K21" s="184">
        <f>'R_PTW NEW 2023vs2022'!K45</f>
        <v>965</v>
      </c>
      <c r="L21" s="184">
        <f>'R_PTW NEW 2023vs2022'!L45</f>
        <v>697</v>
      </c>
      <c r="M21" s="184">
        <f>'R_PTW NEW 2023vs2022'!M45</f>
        <v>562</v>
      </c>
      <c r="N21" s="184">
        <f>'R_PTW NEW 2023vs2022'!N45</f>
        <v>443</v>
      </c>
      <c r="O21" s="162">
        <f>SUM(C21:N21)</f>
        <v>11414</v>
      </c>
      <c r="P21" s="76"/>
      <c r="S21" s="12"/>
    </row>
    <row r="22" spans="2:19">
      <c r="B22" s="162" t="s">
        <v>97</v>
      </c>
      <c r="C22" s="162">
        <f>'R_PTW USED 2023vs2022'!C45</f>
        <v>491</v>
      </c>
      <c r="D22" s="162">
        <f>'R_PTW USED 2023vs2022'!D45</f>
        <v>640</v>
      </c>
      <c r="E22" s="162">
        <f>'R_PTW USED 2023vs2022'!E45</f>
        <v>1199</v>
      </c>
      <c r="F22" s="162">
        <f>'R_PTW USED 2023vs2022'!F45</f>
        <v>1168</v>
      </c>
      <c r="G22" s="162">
        <f>'R_PTW USED 2023vs2022'!G45</f>
        <v>1356</v>
      </c>
      <c r="H22" s="162">
        <f>'R_PTW USED 2023vs2022'!H45</f>
        <v>1429</v>
      </c>
      <c r="I22" s="162">
        <f>'R_PTW USED 2023vs2022'!I45</f>
        <v>1367</v>
      </c>
      <c r="J22" s="162">
        <f>'R_PTW USED 2023vs2022'!J45</f>
        <v>1344</v>
      </c>
      <c r="K22" s="162">
        <f>'R_PTW USED 2023vs2022'!K45</f>
        <v>958</v>
      </c>
      <c r="L22" s="162">
        <f>'R_PTW USED 2023vs2022'!L45</f>
        <v>765</v>
      </c>
      <c r="M22" s="162">
        <f>'R_PTW USED 2023vs2022'!M45</f>
        <v>751</v>
      </c>
      <c r="N22" s="162">
        <f>'R_PTW USED 2023vs2022'!N45</f>
        <v>554</v>
      </c>
      <c r="O22" s="162">
        <f>SUM(C22:N22)</f>
        <v>12022</v>
      </c>
      <c r="P22" s="76"/>
      <c r="S22" s="12"/>
    </row>
    <row r="23" spans="2:19">
      <c r="B23" s="163" t="s">
        <v>98</v>
      </c>
      <c r="C23" s="163">
        <f>C22+C21</f>
        <v>846</v>
      </c>
      <c r="D23" s="163">
        <f t="shared" ref="D23:N23" si="6">D22+D21</f>
        <v>1136</v>
      </c>
      <c r="E23" s="163">
        <f t="shared" si="6"/>
        <v>2240</v>
      </c>
      <c r="F23" s="163">
        <f t="shared" si="6"/>
        <v>2375</v>
      </c>
      <c r="G23" s="163">
        <f t="shared" si="6"/>
        <v>2825</v>
      </c>
      <c r="H23" s="163">
        <f t="shared" si="6"/>
        <v>2942</v>
      </c>
      <c r="I23" s="163">
        <f t="shared" si="6"/>
        <v>2757</v>
      </c>
      <c r="J23" s="163">
        <f t="shared" si="6"/>
        <v>2620</v>
      </c>
      <c r="K23" s="163">
        <f t="shared" si="6"/>
        <v>1923</v>
      </c>
      <c r="L23" s="163">
        <f t="shared" si="6"/>
        <v>1462</v>
      </c>
      <c r="M23" s="163">
        <f t="shared" si="6"/>
        <v>1313</v>
      </c>
      <c r="N23" s="163">
        <f t="shared" si="6"/>
        <v>997</v>
      </c>
      <c r="O23" s="163">
        <f>SUM(C23:N23)</f>
        <v>23436</v>
      </c>
      <c r="P23" s="76"/>
      <c r="S23" s="12"/>
    </row>
    <row r="24" spans="2:19">
      <c r="B24" s="166" t="s">
        <v>128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76"/>
      <c r="S24" s="12"/>
    </row>
    <row r="25" spans="2:19">
      <c r="B25" s="164" t="s">
        <v>129</v>
      </c>
      <c r="C25" s="164">
        <f>'R_PTW NEW 2023vs2022'!C4</f>
        <v>440</v>
      </c>
      <c r="D25" s="164">
        <f>'R_PTW NEW 2023vs2022'!D4</f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/>
      <c r="J25" s="164"/>
      <c r="K25" s="164"/>
      <c r="L25" s="164"/>
      <c r="M25" s="164"/>
      <c r="N25" s="164"/>
      <c r="O25" s="164">
        <f>SUM(C25:N25)</f>
        <v>5618</v>
      </c>
      <c r="P25" s="76"/>
      <c r="S25" s="12"/>
    </row>
    <row r="26" spans="2:19" s="12" customFormat="1">
      <c r="B26" s="162" t="s">
        <v>130</v>
      </c>
      <c r="C26" s="162">
        <f>'R_PTW USED 2023vs2022'!C4</f>
        <v>680</v>
      </c>
      <c r="D26" s="162">
        <f>'R_PTW USED 2023vs2022'!D4</f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/>
      <c r="J26" s="162"/>
      <c r="K26" s="162"/>
      <c r="L26" s="162"/>
      <c r="M26" s="162"/>
      <c r="N26" s="162"/>
      <c r="O26" s="162">
        <f>SUM(C26:N26)</f>
        <v>6698</v>
      </c>
      <c r="P26" s="79"/>
    </row>
    <row r="27" spans="2:19">
      <c r="B27" s="163" t="s">
        <v>131</v>
      </c>
      <c r="C27" s="163">
        <f>C26+C25</f>
        <v>1120</v>
      </c>
      <c r="D27" s="163">
        <f>D26+D25</f>
        <v>1276</v>
      </c>
      <c r="E27" s="163">
        <f>E26+E25</f>
        <v>2063</v>
      </c>
      <c r="F27" s="163">
        <f>F26+F25</f>
        <v>2330</v>
      </c>
      <c r="G27" s="163">
        <f>G26+G25</f>
        <v>2754</v>
      </c>
      <c r="H27" s="163">
        <f>H26+H25</f>
        <v>2773</v>
      </c>
      <c r="I27" s="163"/>
      <c r="J27" s="163"/>
      <c r="K27" s="163"/>
      <c r="L27" s="163"/>
      <c r="M27" s="163"/>
      <c r="N27" s="163"/>
      <c r="O27" s="163">
        <f>SUM(C27:N27)</f>
        <v>12316</v>
      </c>
      <c r="P27" s="6"/>
    </row>
    <row r="28" spans="2:19">
      <c r="B28" s="164" t="s">
        <v>33</v>
      </c>
      <c r="C28" s="165">
        <f>+C27/C23-1</f>
        <v>0.32387706855791953</v>
      </c>
      <c r="D28" s="165">
        <f>+D27/D23-1</f>
        <v>0.12323943661971826</v>
      </c>
      <c r="E28" s="165">
        <f>+E27/E23-1</f>
        <v>-7.901785714285714E-2</v>
      </c>
      <c r="F28" s="165">
        <f>+F27/F23-1</f>
        <v>-1.8947368421052602E-2</v>
      </c>
      <c r="G28" s="165">
        <f>+G27/G23-1</f>
        <v>-2.5132743362831889E-2</v>
      </c>
      <c r="H28" s="165">
        <f>+H27/H23-1</f>
        <v>-5.7443915703602966E-2</v>
      </c>
      <c r="I28" s="165"/>
      <c r="J28" s="165"/>
      <c r="K28" s="165"/>
      <c r="L28" s="165"/>
      <c r="M28" s="165"/>
      <c r="N28" s="165"/>
      <c r="O28" s="165">
        <f ca="1">+O27/SUM(OFFSET(C23,,,,COUNTA(C25:N25)))-1</f>
        <v>-3.8822387576835649E-3</v>
      </c>
      <c r="P28" s="76"/>
      <c r="S28" s="12"/>
    </row>
    <row r="29" spans="2:19">
      <c r="B29" s="164" t="s">
        <v>31</v>
      </c>
      <c r="C29" s="165">
        <f t="shared" ref="C29:D30" si="7">+C25/C21-1</f>
        <v>0.23943661971830976</v>
      </c>
      <c r="D29" s="165">
        <f t="shared" si="7"/>
        <v>1.0080645161290258E-2</v>
      </c>
      <c r="E29" s="165">
        <f t="shared" ref="E29:F29" si="8">+E25/E21-1</f>
        <v>-0.12391930835734866</v>
      </c>
      <c r="F29" s="165">
        <f t="shared" si="8"/>
        <v>-7.6222038111019019E-2</v>
      </c>
      <c r="G29" s="165">
        <f t="shared" ref="G29:H29" si="9">+G25/G21-1</f>
        <v>-0.12117086453369641</v>
      </c>
      <c r="H29" s="165">
        <f t="shared" si="9"/>
        <v>-0.10178453403833443</v>
      </c>
      <c r="I29" s="165"/>
      <c r="J29" s="165"/>
      <c r="K29" s="165"/>
      <c r="L29" s="165"/>
      <c r="M29" s="165"/>
      <c r="N29" s="165"/>
      <c r="O29" s="165">
        <f ca="1">+O25/SUM(OFFSET(C21,,,,COUNTA(C25:N25)))-1</f>
        <v>-7.613879296168391E-2</v>
      </c>
      <c r="P29" s="76"/>
      <c r="S29" s="12"/>
    </row>
    <row r="30" spans="2:19" s="12" customFormat="1">
      <c r="B30" s="164" t="s">
        <v>34</v>
      </c>
      <c r="C30" s="165">
        <f t="shared" si="7"/>
        <v>0.38492871690427699</v>
      </c>
      <c r="D30" s="165">
        <f t="shared" si="7"/>
        <v>0.2109375</v>
      </c>
      <c r="E30" s="165">
        <f t="shared" ref="E30:F30" si="10">+E26/E22-1</f>
        <v>-4.0033361134278578E-2</v>
      </c>
      <c r="F30" s="165">
        <f t="shared" si="10"/>
        <v>4.0239726027397227E-2</v>
      </c>
      <c r="G30" s="165">
        <f t="shared" ref="G30:H30" si="11">+G26/G22-1</f>
        <v>7.8908554572271417E-2</v>
      </c>
      <c r="H30" s="165">
        <f t="shared" si="11"/>
        <v>-1.049685094471664E-2</v>
      </c>
      <c r="I30" s="165"/>
      <c r="J30" s="165"/>
      <c r="K30" s="165"/>
      <c r="L30" s="165"/>
      <c r="M30" s="165"/>
      <c r="N30" s="165"/>
      <c r="O30" s="165">
        <f ca="1">+O26/SUM(OFFSET(C22,,,,COUNTA(C25:N25)))-1</f>
        <v>6.6051249403151324E-2</v>
      </c>
      <c r="P30" s="79"/>
    </row>
    <row r="31" spans="2:19">
      <c r="B31" s="164" t="s">
        <v>26</v>
      </c>
      <c r="C31" s="165">
        <f>+C25/C27</f>
        <v>0.39285714285714285</v>
      </c>
      <c r="D31" s="165">
        <f>+D25/D27</f>
        <v>0.39263322884012541</v>
      </c>
      <c r="E31" s="165">
        <f>+E25/E27</f>
        <v>0.44207464857004364</v>
      </c>
      <c r="F31" s="165">
        <f>+F25/F27</f>
        <v>0.47854077253218885</v>
      </c>
      <c r="G31" s="165">
        <f>+G25/G27</f>
        <v>0.46877269426289037</v>
      </c>
      <c r="H31" s="165">
        <f>+H25/H27</f>
        <v>0.49008294266137759</v>
      </c>
      <c r="I31" s="165"/>
      <c r="J31" s="165"/>
      <c r="K31" s="165"/>
      <c r="L31" s="165"/>
      <c r="M31" s="165"/>
      <c r="N31" s="165"/>
      <c r="O31" s="165">
        <f>+O25/O27</f>
        <v>0.45615459564793764</v>
      </c>
      <c r="P31" s="6"/>
    </row>
    <row r="34" spans="2:8" ht="33" customHeight="1">
      <c r="B34" s="196" t="s">
        <v>53</v>
      </c>
      <c r="C34" s="211" t="str">
        <f>'R_PTW 2023vs2022'!C9:D9</f>
        <v>CZERWIEC</v>
      </c>
      <c r="D34" s="211"/>
      <c r="E34" s="212" t="s">
        <v>5</v>
      </c>
      <c r="F34" s="213" t="str">
        <f>"ROK NARASTAJĄCO
STYCZEŃ-"&amp;C34</f>
        <v>ROK NARASTAJĄCO
STYCZEŃ-CZERWIEC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f ca="1">OFFSET(B10,,COUNTA(C28:N28),,)</f>
        <v>3442</v>
      </c>
      <c r="D36" s="168">
        <f ca="1">OFFSET(B6,,COUNTA(C28:N28),,)</f>
        <v>3241</v>
      </c>
      <c r="E36" s="169">
        <f ca="1">+C36/D36-1</f>
        <v>6.201789571120031E-2</v>
      </c>
      <c r="F36" s="168">
        <f>O10</f>
        <v>16423</v>
      </c>
      <c r="G36" s="168">
        <f ca="1">SUM(OFFSET(C6,,,,COUNTA(C28:N28)))</f>
        <v>14488</v>
      </c>
      <c r="H36" s="169">
        <f ca="1">+F36/G36-1</f>
        <v>0.13355880728879077</v>
      </c>
    </row>
    <row r="37" spans="2:8" ht="16.5" customHeight="1">
      <c r="B37" s="170" t="s">
        <v>55</v>
      </c>
      <c r="C37" s="171">
        <f ca="1">OFFSET(B11,,COUNTA(C29:N29),,)</f>
        <v>7563</v>
      </c>
      <c r="D37" s="171">
        <f ca="1">OFFSET(B7,,COUNTA(C29:N29),,)</f>
        <v>7071</v>
      </c>
      <c r="E37" s="172">
        <f ca="1">+C37/D37-1</f>
        <v>6.9579974543911849E-2</v>
      </c>
      <c r="F37" s="171">
        <f>O11</f>
        <v>36576</v>
      </c>
      <c r="G37" s="171">
        <f ca="1">SUM(OFFSET(C7,,,,COUNTA(C29:N29)))</f>
        <v>34665</v>
      </c>
      <c r="H37" s="172">
        <f ca="1">+F37/G37-1</f>
        <v>5.5127650367806202E-2</v>
      </c>
    </row>
    <row r="38" spans="2:8" ht="16.5" customHeight="1">
      <c r="B38" s="158" t="s">
        <v>18</v>
      </c>
      <c r="C38" s="173">
        <f ca="1">SUM(C36:C37)</f>
        <v>11005</v>
      </c>
      <c r="D38" s="173">
        <f ca="1">SUM(D36:D37)</f>
        <v>10312</v>
      </c>
      <c r="E38" s="159">
        <f ca="1">+C38/D38-1</f>
        <v>6.7203258339798344E-2</v>
      </c>
      <c r="F38" s="173">
        <f>SUM(F36:F37)</f>
        <v>52999</v>
      </c>
      <c r="G38" s="173">
        <f ca="1">SUM(G36:G37)</f>
        <v>49153</v>
      </c>
      <c r="H38" s="159">
        <f ca="1">+F38/G38-1</f>
        <v>7.8245478404166624E-2</v>
      </c>
    </row>
    <row r="41" spans="2:8" ht="33" customHeight="1">
      <c r="B41" s="196" t="s">
        <v>56</v>
      </c>
      <c r="C41" s="211" t="str">
        <f>C34</f>
        <v>CZERWIEC</v>
      </c>
      <c r="D41" s="211"/>
      <c r="E41" s="212" t="s">
        <v>5</v>
      </c>
      <c r="F41" s="213" t="str">
        <f>"ROK NARASTAJĄCO
STYCZEŃ-"&amp;C41</f>
        <v>ROK NARASTAJĄCO
STYCZEŃ-CZERWIEC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f ca="1">OFFSET(B25,,COUNTA(C28:N28),,)</f>
        <v>1359</v>
      </c>
      <c r="D43" s="168">
        <f ca="1">OFFSET(B21,,COUNTA(C28:N28),,)</f>
        <v>1513</v>
      </c>
      <c r="E43" s="169">
        <f ca="1">+C43/D43-1</f>
        <v>-0.10178453403833443</v>
      </c>
      <c r="F43" s="168">
        <f>O25</f>
        <v>5618</v>
      </c>
      <c r="G43" s="168">
        <f ca="1">SUM(OFFSET(C21,,,,COUNTA(C28:N28)))</f>
        <v>6081</v>
      </c>
      <c r="H43" s="169">
        <f ca="1">+F43/G43-1</f>
        <v>-7.613879296168391E-2</v>
      </c>
    </row>
    <row r="44" spans="2:8" ht="15.75" customHeight="1">
      <c r="B44" s="175" t="s">
        <v>55</v>
      </c>
      <c r="C44" s="171">
        <f ca="1">OFFSET(B26,,COUNTA(C29:N29),,)</f>
        <v>1414</v>
      </c>
      <c r="D44" s="171">
        <f ca="1">OFFSET(B22,,COUNTA(C29:N29),,)</f>
        <v>1429</v>
      </c>
      <c r="E44" s="172">
        <f ca="1">+C44/D44-1</f>
        <v>-1.049685094471664E-2</v>
      </c>
      <c r="F44" s="171">
        <f>O26</f>
        <v>6698</v>
      </c>
      <c r="G44" s="171">
        <f ca="1">SUM(OFFSET(C22,,,,COUNTA(C29:N29)))</f>
        <v>6283</v>
      </c>
      <c r="H44" s="172">
        <f ca="1">+F44/G44-1</f>
        <v>6.6051249403151324E-2</v>
      </c>
    </row>
    <row r="45" spans="2:8" ht="15.75" customHeight="1">
      <c r="B45" s="139" t="s">
        <v>18</v>
      </c>
      <c r="C45" s="173">
        <f ca="1">SUM(C43:C44)</f>
        <v>2773</v>
      </c>
      <c r="D45" s="173">
        <f ca="1">SUM(D43:D44)</f>
        <v>2942</v>
      </c>
      <c r="E45" s="159">
        <f ca="1">+C45/D45-1</f>
        <v>-5.7443915703602966E-2</v>
      </c>
      <c r="F45" s="173">
        <f>SUM(F43:F44)</f>
        <v>12316</v>
      </c>
      <c r="G45" s="173">
        <f ca="1">SUM(G43:G44)</f>
        <v>12364</v>
      </c>
      <c r="H45" s="159">
        <f ca="1">+F45/G45-1</f>
        <v>-3.8822387576835649E-3</v>
      </c>
    </row>
    <row r="49" spans="2:15">
      <c r="B49" s="4"/>
    </row>
    <row r="52" spans="2:15" ht="31.5" customHeight="1">
      <c r="B52" s="221"/>
      <c r="C52" s="221"/>
      <c r="D52" s="221"/>
      <c r="E52" s="221"/>
      <c r="F52" s="221"/>
      <c r="G52" s="221"/>
      <c r="H52" s="221"/>
      <c r="I52" s="221"/>
      <c r="J52" s="221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2023-07-06T11:42:16Z</dcterms:modified>
</cp:coreProperties>
</file>